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 Cemitério Licitação\"/>
    </mc:Choice>
  </mc:AlternateContent>
  <xr:revisionPtr revIDLastSave="0" documentId="13_ncr:1_{3DE5C308-0F37-4D48-9078-4E3AC4BFA1BE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ORÇAMENTO" sheetId="5" r:id="rId1"/>
    <sheet name="QUANTITATIVO" sheetId="6" r:id="rId2"/>
    <sheet name="COMPO. PROPRIA" sheetId="9" r:id="rId3"/>
    <sheet name="BDI" sheetId="7" r:id="rId4"/>
    <sheet name="Cronograma" sheetId="10" r:id="rId5"/>
  </sheets>
  <externalReferences>
    <externalReference r:id="rId6"/>
  </externalReferences>
  <definedNames>
    <definedName name="_xlnm.Print_Area" localSheetId="3">BDI!$A$1:$E$24</definedName>
    <definedName name="_xlnm.Print_Area" localSheetId="0">ORÇAMENTO!$B$3:$K$44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0" l="1"/>
  <c r="B6" i="10"/>
  <c r="J7" i="9" l="1"/>
  <c r="J8" i="9"/>
  <c r="J9" i="9"/>
  <c r="J10" i="9"/>
  <c r="J11" i="9"/>
  <c r="H15" i="6" l="1"/>
  <c r="G14" i="6"/>
  <c r="C22" i="6"/>
  <c r="C20" i="6"/>
  <c r="C6" i="6"/>
  <c r="C24" i="6"/>
  <c r="G7" i="6" l="1"/>
  <c r="G6" i="6"/>
  <c r="I8" i="6" l="1"/>
  <c r="C17" i="6" l="1"/>
  <c r="C16" i="6"/>
  <c r="I29" i="5"/>
  <c r="J29" i="5" s="1"/>
  <c r="I28" i="5"/>
  <c r="J28" i="5" s="1"/>
  <c r="C10" i="6"/>
  <c r="C4" i="6" s="1"/>
  <c r="D9" i="6"/>
  <c r="D10" i="6" l="1"/>
  <c r="C7" i="6" s="1"/>
  <c r="C8" i="6" s="1"/>
  <c r="C18" i="6"/>
  <c r="C13" i="6"/>
  <c r="J15" i="9"/>
  <c r="J14" i="9"/>
  <c r="J13" i="9"/>
  <c r="J12" i="9" l="1"/>
  <c r="I15" i="6"/>
  <c r="H14" i="6"/>
  <c r="I14" i="6" s="1"/>
  <c r="I30" i="5"/>
  <c r="J30" i="5" s="1"/>
  <c r="C15" i="6" l="1"/>
  <c r="I7" i="6"/>
  <c r="I34" i="5" l="1"/>
  <c r="J34" i="5" s="1"/>
  <c r="I24" i="5" l="1"/>
  <c r="J6" i="9" l="1"/>
  <c r="J5" i="9" l="1"/>
  <c r="I19" i="5" l="1"/>
  <c r="J19" i="5" s="1"/>
  <c r="I35" i="5" l="1"/>
  <c r="I33" i="5"/>
  <c r="J33" i="5" s="1"/>
  <c r="J35" i="5" l="1"/>
  <c r="J32" i="5" s="1"/>
  <c r="E17" i="10" s="1"/>
  <c r="I27" i="5"/>
  <c r="J27" i="5" s="1"/>
  <c r="I23" i="5"/>
  <c r="F19" i="10" l="1"/>
  <c r="G19" i="10"/>
  <c r="I26" i="5"/>
  <c r="J26" i="5" s="1"/>
  <c r="J24" i="5"/>
  <c r="I25" i="5" l="1"/>
  <c r="J25" i="5" s="1"/>
  <c r="J23" i="5"/>
  <c r="I31" i="5"/>
  <c r="J31" i="5" s="1"/>
  <c r="J21" i="5" l="1"/>
  <c r="E14" i="10" s="1"/>
  <c r="I20" i="5"/>
  <c r="J20" i="5" s="1"/>
  <c r="F16" i="10" l="1"/>
  <c r="G16" i="10"/>
  <c r="G20" i="10" s="1"/>
  <c r="J18" i="5"/>
  <c r="E11" i="10" s="1"/>
  <c r="D20" i="7"/>
  <c r="D23" i="7" s="1"/>
  <c r="D13" i="7"/>
  <c r="D10" i="7"/>
  <c r="F13" i="10" l="1"/>
  <c r="F20" i="10" s="1"/>
  <c r="E22" i="10"/>
  <c r="D11" i="10" s="1"/>
  <c r="J37" i="5"/>
  <c r="I6" i="6"/>
  <c r="I5" i="6"/>
  <c r="G21" i="10" l="1"/>
  <c r="D14" i="10"/>
  <c r="D17" i="10"/>
  <c r="F22" i="10"/>
  <c r="G22" i="10" s="1"/>
  <c r="F21" i="10"/>
  <c r="L29" i="5"/>
  <c r="L28" i="5"/>
  <c r="L25" i="5"/>
  <c r="L34" i="5"/>
  <c r="L19" i="5"/>
  <c r="L33" i="5"/>
  <c r="L27" i="5"/>
  <c r="L35" i="5"/>
  <c r="L24" i="5"/>
  <c r="L26" i="5"/>
  <c r="L23" i="5"/>
  <c r="L31" i="5"/>
  <c r="L30" i="5"/>
  <c r="L20" i="5"/>
  <c r="D22" i="10" l="1"/>
</calcChain>
</file>

<file path=xl/sharedStrings.xml><?xml version="1.0" encoding="utf-8"?>
<sst xmlns="http://schemas.openxmlformats.org/spreadsheetml/2006/main" count="191" uniqueCount="139">
  <si>
    <t>CÓDIGO SINAPI</t>
  </si>
  <si>
    <t>DESCRIÇÃO</t>
  </si>
  <si>
    <t>UNIDADE</t>
  </si>
  <si>
    <t>QUANTIDADE</t>
  </si>
  <si>
    <t>PREÇO UNIT.</t>
  </si>
  <si>
    <t>PREÇO UNIT. C/ B.D.I.</t>
  </si>
  <si>
    <t>VALOR TOTAL</t>
  </si>
  <si>
    <t>SERVIÇOS PRELIMINARES</t>
  </si>
  <si>
    <t>OBRA:
LOCAL:</t>
  </si>
  <si>
    <t>BDI:</t>
  </si>
  <si>
    <t>M</t>
  </si>
  <si>
    <t>M2</t>
  </si>
  <si>
    <t>KG</t>
  </si>
  <si>
    <t>M3</t>
  </si>
  <si>
    <t>1.0</t>
  </si>
  <si>
    <t>DEPARTAMENTO DE ENGENHARIA</t>
  </si>
  <si>
    <t>ITEM</t>
  </si>
  <si>
    <t>SUBTOTAL --------&gt;</t>
  </si>
  <si>
    <t>Execução de Obras de  Construção do Muro no Cemitério Municipal                                                                                                                                                                                                                                 Coordenadas geograficas da Obra: Latitude: 14°46'47.6"S  Longitude:53°37'28.7"W</t>
  </si>
  <si>
    <t>FUNDAÇÃO</t>
  </si>
  <si>
    <t>ALVENARIA</t>
  </si>
  <si>
    <t>(M³)</t>
  </si>
  <si>
    <t xml:space="preserve">CINTA DE AMARRAÇÃO </t>
  </si>
  <si>
    <t>(KG)</t>
  </si>
  <si>
    <t>N2 = Ø 8,0 mm</t>
  </si>
  <si>
    <t>2.0</t>
  </si>
  <si>
    <t>ARMAÇÃO DE BLOCO, VIGA BALDRAME OU SAPATA UTILIZANDO AÇO CA-50 DE 10 MM - MONTAGEM. AF_06/2017</t>
  </si>
  <si>
    <t>N1 = Ø 10,00 mm</t>
  </si>
  <si>
    <t>N3 = Ø 6,3 mm</t>
  </si>
  <si>
    <t>(M)</t>
  </si>
  <si>
    <t>(KG/M)</t>
  </si>
  <si>
    <r>
      <t xml:space="preserve">MUNICÍPIO DE SANTO ANTONIO DO LESTE - MT
</t>
    </r>
    <r>
      <rPr>
        <b/>
        <sz val="9"/>
        <rFont val="Arial"/>
        <family val="2"/>
      </rPr>
      <t>Composição da Parcela de BDI  - Obras e Serviços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Referência:    SINAPI - 10/2019 - Desonerado</t>
    </r>
  </si>
  <si>
    <t>Itens relativos à Administração da Obra</t>
  </si>
  <si>
    <t>%</t>
  </si>
  <si>
    <t>AC - Administração Central</t>
  </si>
  <si>
    <t>DF - Custos Financeiros</t>
  </si>
  <si>
    <t>R - Riscos</t>
  </si>
  <si>
    <t>S - Seguros</t>
  </si>
  <si>
    <t>G - Garantias</t>
  </si>
  <si>
    <t>Sub-total</t>
  </si>
  <si>
    <t>Lucro</t>
  </si>
  <si>
    <t>L - Lucro/Remuneração</t>
  </si>
  <si>
    <t>I - Taxas e Impostos</t>
  </si>
  <si>
    <t>PIS</t>
  </si>
  <si>
    <t>COFINS</t>
  </si>
  <si>
    <t>ISSQN</t>
  </si>
  <si>
    <t>Contribuição Previdenciária - Lei N°12.546/13</t>
  </si>
  <si>
    <t>BDI=</t>
  </si>
  <si>
    <t>1.1</t>
  </si>
  <si>
    <t>1.2</t>
  </si>
  <si>
    <t xml:space="preserve">ALVENARIA (M²) = </t>
  </si>
  <si>
    <t>CONCRETO MAGRO PARA LASTRO, TRAÇO 1:4,5:4,5 (CIMENTO/ AREIA MÉDIA/ BRITA 1)  - PREPARO MECÂNICO COM BETONEIRA 400 L. AF_07/2016</t>
  </si>
  <si>
    <t>2.1</t>
  </si>
  <si>
    <t>2.2</t>
  </si>
  <si>
    <t>IMPERMEABILIZAÇÃO DE SUPERFÍCIE COM EMULSÃO ASFÁLTICA, 2 DEMÃOS AF_06/2018</t>
  </si>
  <si>
    <t>2.6</t>
  </si>
  <si>
    <t>2.7</t>
  </si>
  <si>
    <t>EXECUÇÃO DE DEPÓSITO EM CANTEIRO DE OBRA EM CHAPA DE MADEIRA COMPENSADA, NÃO INCLUSO MOBILIÁRIO. AF_04/2016</t>
  </si>
  <si>
    <t>Canteiro de Obras (m²) =</t>
  </si>
  <si>
    <t>PEDREIRO COM ENCARGOS COMPLEMENTARES</t>
  </si>
  <si>
    <t>H</t>
  </si>
  <si>
    <t>TOTAL:</t>
  </si>
  <si>
    <t>ARMAÇÃO DE BLOCO, VIGA BALDRAME OU SAPATA UTILIZANDO AÇO CA-50 DE 6,3 MM - MONTAGEM. AF_06/2017</t>
  </si>
  <si>
    <t>2.4</t>
  </si>
  <si>
    <t>3.0</t>
  </si>
  <si>
    <t>ALVENARIA DE VEDAÇÃO DE BLOCOS VAZADOS DE CONCRETO DE 9X19X39CM (ESPESSURA 9CM) DE PAREDES COM ÁREA LÍQUIDA MAIOR OU IGUAL A 6M² SEM VÃOS E ARGAMASSA DE ASSENTAMENTO COM PREPARO EM BETONEIRA. AF_06/2014</t>
  </si>
  <si>
    <t>CINTA DE AMARRAÇÃO DE ALVENARIA MOLDADA IN LOCO COM UTILIZAÇÃO DE BLOCOS CANALETA. AF_03/2016</t>
  </si>
  <si>
    <t>COMPOSIÇÕES PRÓRIAS</t>
  </si>
  <si>
    <t>C-SINAPI</t>
  </si>
  <si>
    <t>00051/ORSE</t>
  </si>
  <si>
    <t>PLACA DE OBRA EM CHAPA DE AÇO GALVANIZADA, INSTALADA</t>
  </si>
  <si>
    <t>I-SINAPI</t>
  </si>
  <si>
    <t>Engenheiro Civil</t>
  </si>
  <si>
    <t xml:space="preserve">CAIBRO DE MADEIRA NÃO APARELHADA *5 X 6* CM, MACARANDUBA, ANGELIM OU EQUIVALENTE DA REGIAO </t>
  </si>
  <si>
    <t>PLACA DE OBRA (PARA CONSTRUÇÃO CIVIL) EM CHAPA GALVANIZADA *N. 22*, ADESIVADA, DE *2,0 X 1,125* M</t>
  </si>
  <si>
    <t xml:space="preserve">SARRAFO DE MADEIRA NÃO APARELHADA 2,5 X 5 CM, MACARANDUBA, ANGELIM OU EQUIVALENTE DA REGIAO </t>
  </si>
  <si>
    <t>PREGO DE AÇO POLIDO COM CABEÇA 18 X 30 (2 3/4 X 10)</t>
  </si>
  <si>
    <t xml:space="preserve">CARPINTEIRO DE FORMAS COM ENCARGOS COMPLEMENTARES </t>
  </si>
  <si>
    <t xml:space="preserve">SERVENTE COM ENCARGOS COMPLEMENTARES </t>
  </si>
  <si>
    <t>SAPATA CORRIDA</t>
  </si>
  <si>
    <t>ESCAVAÇÃO MANUAL PARA BLOCO DE COROAMENTO OU SAPATA, COM PREVISÃO DE FÔRMA. AF_06/2017</t>
  </si>
  <si>
    <t>Sapata</t>
  </si>
  <si>
    <t xml:space="preserve">Área escavação Sapata (m³) = </t>
  </si>
  <si>
    <t>GRAUTE FGK=25 MPA; TRAÇO 1:0,02:1,2:1,5 (CIMENTO/ CAL/ AREIA GROSSA/ BRITA 0) - PREPARO MECÂNICO COM BETONEIRA 400 L. AF_02/2015</t>
  </si>
  <si>
    <t>Armação Sapata</t>
  </si>
  <si>
    <t>Quant.</t>
  </si>
  <si>
    <t xml:space="preserve">ARMAÇÃO </t>
  </si>
  <si>
    <t xml:space="preserve">CINTA DE AMARRAÇÃO (M) = </t>
  </si>
  <si>
    <t>Matheus Costa Oliveira de Moraes</t>
  </si>
  <si>
    <t>CREA 121731398-2</t>
  </si>
  <si>
    <t>POLIESTIRENO EXPANDIDO/EPS (ISOPOR), TIPO 2F, PLACA, ISOLAMENTO TERMOACUSTICO, E = 20 MM, 1000 X 500 MM</t>
  </si>
  <si>
    <t>142</t>
  </si>
  <si>
    <t>SELANTE ELASTICO MONOCOMPONENTE A BASE DE POLIURETANO (PU) PARA JUNTAS DIVERSAS</t>
  </si>
  <si>
    <t xml:space="preserve">310ML </t>
  </si>
  <si>
    <t>88309</t>
  </si>
  <si>
    <t xml:space="preserve">
04266/ORSE</t>
  </si>
  <si>
    <t>JUNTA DE DILATAÇÃO (ALTURA TOTAL DO PAVIMENTO) COM PREENCHIMENTO PARCIAL EM ISOPOR H=15CM E PREENCHIMENTO DO COMPLEMENTO COM MASTIQUE DE POLIURETANO SEÇÃO 2X2CM, MBT,Basf,OU SIMILILAR, PARA PAVIMENTOS EM CONCRETO.</t>
  </si>
  <si>
    <t>04266/ORSE</t>
  </si>
  <si>
    <t>3.1</t>
  </si>
  <si>
    <t>3.2</t>
  </si>
  <si>
    <t>3.3</t>
  </si>
  <si>
    <t>Área Líquida 09x19x39 =</t>
  </si>
  <si>
    <t>2.3</t>
  </si>
  <si>
    <t>2.5</t>
  </si>
  <si>
    <t>CONCRETO FCK = 25MPA, TRAÇO 1:2,3:2,7 (CIMENTO/ AREIA MÉDIA/ BRITA 1)  - PREPARO MECÂNICO COM BETONEIRA 600 L. AF_07/2016</t>
  </si>
  <si>
    <t>PILAR (GRAUTE)</t>
  </si>
  <si>
    <t>CONCRETO / GRAUTE</t>
  </si>
  <si>
    <t>Bloco com Graute =</t>
  </si>
  <si>
    <t>Graute Restante</t>
  </si>
  <si>
    <t>Volume Líquido 09x19x39 =</t>
  </si>
  <si>
    <t>Total Graute:</t>
  </si>
  <si>
    <t>ARMAÇÃO DE PILAR OU VIGA DE UMA ESTRUTURA CONVENCIONAL DE CONCRETO ARMADO EM UMA EDIFICAÇÃO TÉRREA OU SOBRADO UTILIZANDO AÇO CA-50 DE 8,0 MM - MONTAGEM. AF_12/2015</t>
  </si>
  <si>
    <t>2.8</t>
  </si>
  <si>
    <t>2.9</t>
  </si>
  <si>
    <t>Impermeabilização =</t>
  </si>
  <si>
    <t xml:space="preserve"> **Item 3.3 cinta de amarração já está incluso o graute e armação</t>
  </si>
  <si>
    <t>Grampo</t>
  </si>
  <si>
    <t>ARMAÇÃO DE PILAR OU VIGA DE UMA ESTRUTURA CONVENCIONAL DE CONCRETO ARMADO EM UMA EDIFICAÇÃO TÉRREA OU SOBRADO UTILIZANDO AÇO CA-50 DE 6,3 MM - MONTAGEM. AF_12/2015</t>
  </si>
  <si>
    <t>N4 = Ø 5,0 mm</t>
  </si>
  <si>
    <t>JUNTA DE DILATAÇÃO =</t>
  </si>
  <si>
    <r>
      <t xml:space="preserve">MUNICÍPIO DE SANTO ANTONIO DO LESTE - MT
</t>
    </r>
    <r>
      <rPr>
        <b/>
        <sz val="9"/>
        <rFont val="Arial"/>
        <family val="2"/>
      </rPr>
      <t>Composição da Parcela de BDI  - Obras e Serviços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Referência:    SINAPI -03/2020 - Desonerado</t>
    </r>
  </si>
  <si>
    <t>Santo Antonio do Leste - MT, 03 de maio de 2021.</t>
  </si>
  <si>
    <t>OBRA: CONSTRUÇÃO DO MURO DO CEMITÉRIO MUNICIPAL</t>
  </si>
  <si>
    <t>Ref.: Tabela de Serviços                  SINAPI (Maio/2021)</t>
  </si>
  <si>
    <t>Santo Antonio do Leste - MT,  03 de maio de 2021.</t>
  </si>
  <si>
    <t xml:space="preserve">(CENTO E NOVENTA E TRÊS MIL, DUZENTOS E SETENTA E CINCO REAIS E NOVENTA E QUATRO CENTAVOS) </t>
  </si>
  <si>
    <t xml:space="preserve">TRASPASSE É O DOBRO DE LB </t>
  </si>
  <si>
    <t>CRONOGRAMA  FÍSICO-FINANCEIRO</t>
  </si>
  <si>
    <t>B.D.I: 27,63%</t>
  </si>
  <si>
    <t>Item</t>
  </si>
  <si>
    <t>DISCRIMINAÇÃO DOS SERVIÇOS</t>
  </si>
  <si>
    <t>VALOR DO ITEM</t>
  </si>
  <si>
    <t>30 DIAS</t>
  </si>
  <si>
    <t>60 DIAS</t>
  </si>
  <si>
    <t>(R$)</t>
  </si>
  <si>
    <t>TOTAIS MENSAIS</t>
  </si>
  <si>
    <t>TOTAIS ACUMULADOS</t>
  </si>
  <si>
    <t>Nota técnica: O ISSQN de 1,5% esta baseado sobre 60% conforme Lei Municipal n°114/03</t>
  </si>
  <si>
    <t>Santo Antonio do Leste - MT,  09 de junho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</si>
</sst>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&quot;R$&quot;#,##0.00"/>
    <numFmt numFmtId="167" formatCode="0.0000"/>
    <numFmt numFmtId="168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indexed="23"/>
      <name val="Times New Roman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Courier New"/>
      <family val="3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99993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8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6" xfId="0" applyBorder="1" applyAlignment="1"/>
    <xf numFmtId="0" fontId="0" fillId="0" borderId="0" xfId="0" applyBorder="1" applyAlignment="1"/>
    <xf numFmtId="0" fontId="0" fillId="0" borderId="8" xfId="0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2" fillId="2" borderId="2" xfId="0" quotePrefix="1" applyFont="1" applyFill="1" applyBorder="1" applyAlignment="1">
      <alignment horizontal="left" vertical="center"/>
    </xf>
    <xf numFmtId="166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1" xfId="0" applyNumberFormat="1" applyBorder="1"/>
    <xf numFmtId="0" fontId="9" fillId="0" borderId="1" xfId="0" applyFont="1" applyBorder="1" applyAlignment="1">
      <alignment horizontal="left" vertical="top" wrapText="1" indent="3"/>
    </xf>
    <xf numFmtId="10" fontId="11" fillId="0" borderId="2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10" fontId="9" fillId="0" borderId="1" xfId="9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0" fontId="11" fillId="0" borderId="22" xfId="0" applyNumberFormat="1" applyFont="1" applyBorder="1" applyAlignment="1">
      <alignment horizontal="right" vertical="top" shrinkToFit="1"/>
    </xf>
    <xf numFmtId="10" fontId="12" fillId="0" borderId="22" xfId="0" applyNumberFormat="1" applyFont="1" applyBorder="1" applyAlignment="1">
      <alignment horizontal="right" vertical="top" shrinkToFit="1"/>
    </xf>
    <xf numFmtId="0" fontId="9" fillId="0" borderId="22" xfId="0" applyFont="1" applyBorder="1" applyAlignment="1">
      <alignment horizontal="left" vertical="top" wrapText="1" indent="3"/>
    </xf>
    <xf numFmtId="0" fontId="3" fillId="0" borderId="22" xfId="0" applyFont="1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/>
    <xf numFmtId="2" fontId="0" fillId="0" borderId="0" xfId="0" applyNumberFormat="1"/>
    <xf numFmtId="43" fontId="0" fillId="0" borderId="0" xfId="0" applyNumberFormat="1"/>
    <xf numFmtId="0" fontId="0" fillId="0" borderId="1" xfId="0" applyBorder="1" applyAlignment="1">
      <alignment horizontal="center" vertical="center"/>
    </xf>
    <xf numFmtId="0" fontId="2" fillId="2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/>
    <xf numFmtId="0" fontId="0" fillId="5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0" fillId="0" borderId="20" xfId="0" applyBorder="1"/>
    <xf numFmtId="0" fontId="0" fillId="0" borderId="2" xfId="0" applyBorder="1"/>
    <xf numFmtId="0" fontId="0" fillId="0" borderId="3" xfId="0" applyBorder="1"/>
    <xf numFmtId="0" fontId="0" fillId="0" borderId="6" xfId="0" applyFill="1" applyBorder="1" applyAlignment="1">
      <alignment horizontal="center" vertical="center"/>
    </xf>
    <xf numFmtId="10" fontId="0" fillId="0" borderId="0" xfId="9" applyNumberFormat="1" applyFont="1"/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7" borderId="29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167" fontId="14" fillId="7" borderId="1" xfId="11" applyNumberFormat="1" applyFont="1" applyFill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 wrapText="1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44" fontId="4" fillId="6" borderId="30" xfId="10" applyFont="1" applyFill="1" applyBorder="1" applyAlignment="1">
      <alignment horizontal="center" vertical="center" wrapText="1"/>
    </xf>
    <xf numFmtId="0" fontId="14" fillId="7" borderId="1" xfId="1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2" fontId="0" fillId="9" borderId="1" xfId="0" applyNumberFormat="1" applyFill="1" applyBorder="1"/>
    <xf numFmtId="0" fontId="0" fillId="9" borderId="1" xfId="0" applyFill="1" applyBorder="1"/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166" fontId="0" fillId="0" borderId="0" xfId="0" applyNumberForma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7" fontId="0" fillId="0" borderId="0" xfId="0" applyNumberForma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49" fontId="14" fillId="0" borderId="1" xfId="11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left" vertical="center" wrapText="1"/>
    </xf>
    <xf numFmtId="0" fontId="14" fillId="0" borderId="1" xfId="11" applyFont="1" applyFill="1" applyBorder="1" applyAlignment="1">
      <alignment horizontal="center" vertical="center" wrapText="1"/>
    </xf>
    <xf numFmtId="164" fontId="14" fillId="7" borderId="30" xfId="4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14" fillId="0" borderId="1" xfId="4" applyNumberFormat="1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left" vertical="center"/>
    </xf>
    <xf numFmtId="164" fontId="14" fillId="0" borderId="0" xfId="4" applyFont="1" applyFill="1" applyBorder="1" applyAlignment="1">
      <alignment horizontal="right" vertical="center"/>
    </xf>
    <xf numFmtId="2" fontId="14" fillId="0" borderId="1" xfId="11" applyNumberFormat="1" applyFont="1" applyFill="1" applyBorder="1" applyAlignment="1">
      <alignment horizontal="center" vertical="center" wrapText="1"/>
    </xf>
    <xf numFmtId="0" fontId="4" fillId="3" borderId="29" xfId="3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2" fontId="0" fillId="0" borderId="0" xfId="0" applyNumberFormat="1" applyBorder="1"/>
    <xf numFmtId="0" fontId="17" fillId="0" borderId="1" xfId="0" quotePrefix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2" fontId="0" fillId="9" borderId="1" xfId="0" applyNumberFormat="1" applyFill="1" applyBorder="1" applyAlignment="1">
      <alignment horizontal="right" vertical="center"/>
    </xf>
    <xf numFmtId="0" fontId="0" fillId="0" borderId="0" xfId="0" applyFill="1" applyBorder="1" applyAlignment="1"/>
    <xf numFmtId="43" fontId="0" fillId="0" borderId="1" xfId="0" applyNumberForma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2" fontId="2" fillId="0" borderId="1" xfId="0" applyNumberFormat="1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2" fontId="17" fillId="9" borderId="1" xfId="0" applyNumberFormat="1" applyFont="1" applyFill="1" applyBorder="1" applyAlignment="1">
      <alignment horizontal="right" vertical="center"/>
    </xf>
    <xf numFmtId="43" fontId="0" fillId="0" borderId="0" xfId="1" applyFont="1"/>
    <xf numFmtId="43" fontId="0" fillId="0" borderId="12" xfId="1" applyFont="1" applyBorder="1"/>
    <xf numFmtId="43" fontId="0" fillId="0" borderId="6" xfId="1" applyFont="1" applyBorder="1"/>
    <xf numFmtId="43" fontId="0" fillId="0" borderId="0" xfId="1" applyFont="1" applyBorder="1"/>
    <xf numFmtId="43" fontId="2" fillId="0" borderId="0" xfId="1" applyFont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43" fontId="2" fillId="5" borderId="3" xfId="1" applyFont="1" applyFill="1" applyBorder="1" applyAlignment="1">
      <alignment vertical="center"/>
    </xf>
    <xf numFmtId="43" fontId="0" fillId="0" borderId="3" xfId="1" applyFont="1" applyBorder="1"/>
    <xf numFmtId="43" fontId="0" fillId="0" borderId="0" xfId="1" applyFont="1" applyFill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43" fontId="0" fillId="0" borderId="0" xfId="1" applyFont="1" applyAlignment="1">
      <alignment horizontal="right" vertical="center"/>
    </xf>
    <xf numFmtId="43" fontId="0" fillId="0" borderId="6" xfId="1" applyFont="1" applyBorder="1" applyAlignment="1"/>
    <xf numFmtId="43" fontId="0" fillId="0" borderId="0" xfId="1" applyFont="1" applyBorder="1" applyAlignment="1"/>
    <xf numFmtId="43" fontId="0" fillId="0" borderId="8" xfId="1" applyFont="1" applyBorder="1"/>
    <xf numFmtId="43" fontId="0" fillId="2" borderId="3" xfId="1" applyFont="1" applyFill="1" applyBorder="1"/>
    <xf numFmtId="43" fontId="0" fillId="2" borderId="3" xfId="1" applyFont="1" applyFill="1" applyBorder="1" applyAlignment="1">
      <alignment horizontal="right" vertical="center"/>
    </xf>
    <xf numFmtId="43" fontId="0" fillId="0" borderId="4" xfId="1" applyFont="1" applyBorder="1"/>
    <xf numFmtId="43" fontId="0" fillId="0" borderId="9" xfId="1" applyFont="1" applyBorder="1"/>
    <xf numFmtId="43" fontId="0" fillId="4" borderId="9" xfId="1" applyFont="1" applyFill="1" applyBorder="1" applyAlignment="1">
      <alignment horizontal="center"/>
    </xf>
    <xf numFmtId="43" fontId="2" fillId="2" borderId="1" xfId="1" applyFont="1" applyFill="1" applyBorder="1"/>
    <xf numFmtId="43" fontId="2" fillId="5" borderId="20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0" fillId="10" borderId="1" xfId="1" applyFont="1" applyFill="1" applyBorder="1" applyAlignment="1">
      <alignment horizontal="right" vertical="center"/>
    </xf>
    <xf numFmtId="43" fontId="2" fillId="0" borderId="1" xfId="1" applyFont="1" applyBorder="1"/>
    <xf numFmtId="0" fontId="3" fillId="0" borderId="15" xfId="0" applyFont="1" applyBorder="1"/>
    <xf numFmtId="0" fontId="21" fillId="0" borderId="12" xfId="0" applyFont="1" applyBorder="1"/>
    <xf numFmtId="0" fontId="3" fillId="0" borderId="17" xfId="0" applyFont="1" applyBorder="1"/>
    <xf numFmtId="0" fontId="3" fillId="0" borderId="0" xfId="0" applyFont="1"/>
    <xf numFmtId="0" fontId="3" fillId="0" borderId="14" xfId="0" applyFont="1" applyBorder="1"/>
    <xf numFmtId="0" fontId="3" fillId="0" borderId="13" xfId="0" applyFont="1" applyBorder="1"/>
    <xf numFmtId="0" fontId="21" fillId="0" borderId="18" xfId="0" applyFont="1" applyBorder="1"/>
    <xf numFmtId="0" fontId="9" fillId="0" borderId="8" xfId="0" applyFont="1" applyBorder="1"/>
    <xf numFmtId="0" fontId="21" fillId="0" borderId="8" xfId="0" applyFont="1" applyBorder="1"/>
    <xf numFmtId="0" fontId="24" fillId="0" borderId="31" xfId="0" applyFont="1" applyBorder="1" applyAlignment="1">
      <alignment horizontal="center"/>
    </xf>
    <xf numFmtId="0" fontId="24" fillId="11" borderId="2" xfId="0" applyFont="1" applyFill="1" applyBorder="1" applyAlignment="1">
      <alignment horizontal="center" vertical="center"/>
    </xf>
    <xf numFmtId="0" fontId="24" fillId="12" borderId="33" xfId="0" applyFont="1" applyFill="1" applyBorder="1" applyAlignment="1">
      <alignment horizontal="center" vertical="center"/>
    </xf>
    <xf numFmtId="10" fontId="21" fillId="0" borderId="7" xfId="12" applyNumberFormat="1" applyFont="1" applyBorder="1"/>
    <xf numFmtId="10" fontId="21" fillId="0" borderId="31" xfId="12" applyNumberFormat="1" applyFont="1" applyBorder="1"/>
    <xf numFmtId="10" fontId="3" fillId="0" borderId="0" xfId="0" applyNumberFormat="1" applyFont="1"/>
    <xf numFmtId="165" fontId="21" fillId="0" borderId="11" xfId="13" applyFont="1" applyBorder="1"/>
    <xf numFmtId="165" fontId="21" fillId="0" borderId="32" xfId="13" applyFont="1" applyBorder="1"/>
    <xf numFmtId="165" fontId="21" fillId="11" borderId="2" xfId="13" applyFont="1" applyFill="1" applyBorder="1"/>
    <xf numFmtId="165" fontId="21" fillId="11" borderId="31" xfId="13" applyFont="1" applyFill="1" applyBorder="1"/>
    <xf numFmtId="10" fontId="21" fillId="0" borderId="33" xfId="12" applyNumberFormat="1" applyFont="1" applyBorder="1"/>
    <xf numFmtId="165" fontId="24" fillId="0" borderId="32" xfId="13" applyFont="1" applyBorder="1"/>
    <xf numFmtId="0" fontId="24" fillId="0" borderId="1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0" fontId="21" fillId="0" borderId="32" xfId="12" applyNumberFormat="1" applyFont="1" applyBorder="1"/>
    <xf numFmtId="10" fontId="21" fillId="0" borderId="1" xfId="12" applyNumberFormat="1" applyFont="1" applyBorder="1"/>
    <xf numFmtId="9" fontId="24" fillId="13" borderId="1" xfId="12" applyNumberFormat="1" applyFont="1" applyFill="1" applyBorder="1" applyAlignment="1">
      <alignment horizontal="center"/>
    </xf>
    <xf numFmtId="165" fontId="24" fillId="13" borderId="1" xfId="13" applyFont="1" applyFill="1" applyBorder="1" applyAlignment="1">
      <alignment horizontal="center"/>
    </xf>
    <xf numFmtId="165" fontId="24" fillId="13" borderId="1" xfId="0" applyNumberFormat="1" applyFont="1" applyFill="1" applyBorder="1"/>
    <xf numFmtId="43" fontId="3" fillId="0" borderId="0" xfId="0" applyNumberFormat="1" applyFont="1"/>
    <xf numFmtId="0" fontId="21" fillId="0" borderId="0" xfId="0" applyFont="1" applyBorder="1"/>
    <xf numFmtId="0" fontId="24" fillId="0" borderId="0" xfId="0" applyFont="1" applyBorder="1"/>
    <xf numFmtId="10" fontId="21" fillId="0" borderId="0" xfId="12" applyNumberFormat="1" applyFont="1" applyBorder="1"/>
    <xf numFmtId="0" fontId="3" fillId="0" borderId="0" xfId="0" applyFont="1" applyBorder="1"/>
    <xf numFmtId="0" fontId="3" fillId="0" borderId="27" xfId="0" applyFont="1" applyBorder="1"/>
    <xf numFmtId="0" fontId="3" fillId="0" borderId="18" xfId="0" applyFont="1" applyBorder="1"/>
    <xf numFmtId="0" fontId="3" fillId="0" borderId="28" xfId="0" applyFont="1" applyBorder="1"/>
    <xf numFmtId="0" fontId="21" fillId="0" borderId="0" xfId="0" applyFont="1" applyBorder="1" applyAlignment="1"/>
    <xf numFmtId="10" fontId="0" fillId="0" borderId="9" xfId="9" applyNumberFormat="1" applyFont="1" applyBorder="1"/>
    <xf numFmtId="0" fontId="0" fillId="0" borderId="0" xfId="0" applyFill="1" applyBorder="1" applyAlignment="1">
      <alignment horizontal="right"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15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0" fontId="3" fillId="0" borderId="2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13" borderId="11" xfId="0" applyFont="1" applyFill="1" applyBorder="1" applyAlignment="1">
      <alignment horizontal="center"/>
    </xf>
    <xf numFmtId="0" fontId="24" fillId="13" borderId="10" xfId="0" applyFont="1" applyFill="1" applyBorder="1" applyAlignment="1">
      <alignment horizontal="center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10" fontId="21" fillId="0" borderId="1" xfId="12" applyNumberFormat="1" applyFont="1" applyBorder="1" applyAlignment="1">
      <alignment horizontal="center" vertical="center"/>
    </xf>
    <xf numFmtId="165" fontId="21" fillId="0" borderId="33" xfId="12" applyNumberFormat="1" applyFont="1" applyFill="1" applyBorder="1" applyAlignment="1">
      <alignment horizontal="center" vertical="center"/>
    </xf>
    <xf numFmtId="165" fontId="21" fillId="0" borderId="31" xfId="12" applyNumberFormat="1" applyFont="1" applyFill="1" applyBorder="1" applyAlignment="1">
      <alignment horizontal="center" vertical="center"/>
    </xf>
    <xf numFmtId="165" fontId="21" fillId="0" borderId="32" xfId="12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14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9" fillId="0" borderId="27" xfId="0" applyNumberFormat="1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23" fillId="0" borderId="18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0" borderId="16" xfId="0" applyFont="1" applyBorder="1"/>
  </cellXfs>
  <cellStyles count="14">
    <cellStyle name="Currency 2 2 3 2" xfId="4" xr:uid="{00000000-0005-0000-0000-000000000000}"/>
    <cellStyle name="Moeda" xfId="10" builtinId="4"/>
    <cellStyle name="Normal" xfId="0" builtinId="0"/>
    <cellStyle name="Normal 10" xfId="5" xr:uid="{00000000-0005-0000-0000-000003000000}"/>
    <cellStyle name="Normal 2" xfId="7" xr:uid="{00000000-0005-0000-0000-000004000000}"/>
    <cellStyle name="Normal 2 3" xfId="8" xr:uid="{00000000-0005-0000-0000-000005000000}"/>
    <cellStyle name="Normal 282" xfId="6" xr:uid="{00000000-0005-0000-0000-000006000000}"/>
    <cellStyle name="Normal 32 2 2 2" xfId="3" xr:uid="{00000000-0005-0000-0000-000007000000}"/>
    <cellStyle name="Normal_PLANILHA PRONTO SOCORRO CUIABÁ - SERV. PRELIM. - MARROM" xfId="11" xr:uid="{00000000-0005-0000-0000-000008000000}"/>
    <cellStyle name="Porcentagem" xfId="9" builtinId="5"/>
    <cellStyle name="Porcentagem 2" xfId="12" xr:uid="{00000000-0005-0000-0000-00000A000000}"/>
    <cellStyle name="Separador de milhares 2" xfId="2" xr:uid="{00000000-0005-0000-0000-00000C000000}"/>
    <cellStyle name="Vírgula" xfId="1" builtinId="3"/>
    <cellStyle name="Vírgula 2" xfId="13" xr:uid="{00000000-0005-0000-0000-00000D000000}"/>
  </cellStyles>
  <dxfs count="0"/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3</xdr:row>
      <xdr:rowOff>9526</xdr:rowOff>
    </xdr:from>
    <xdr:to>
      <xdr:col>6</xdr:col>
      <xdr:colOff>65159</xdr:colOff>
      <xdr:row>10</xdr:row>
      <xdr:rowOff>130263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4C335C-5DCD-4FE3-AC69-164071C0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38151"/>
          <a:ext cx="4970534" cy="1454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57150</xdr:rowOff>
    </xdr:from>
    <xdr:to>
      <xdr:col>3</xdr:col>
      <xdr:colOff>28450</xdr:colOff>
      <xdr:row>2</xdr:row>
      <xdr:rowOff>1047750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99DBA990-C940-4522-B461-E452EA5A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47675"/>
          <a:ext cx="1066675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1013858</xdr:colOff>
      <xdr:row>21</xdr:row>
      <xdr:rowOff>143715</xdr:rowOff>
    </xdr:from>
    <xdr:to>
      <xdr:col>1</xdr:col>
      <xdr:colOff>1626278</xdr:colOff>
      <xdr:row>21</xdr:row>
      <xdr:rowOff>165813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9D66B9F4-4308-4F5D-A30C-AD82FDB5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4287090"/>
          <a:ext cx="612420" cy="220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576892</xdr:colOff>
      <xdr:row>4</xdr:row>
      <xdr:rowOff>297180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5720" y="74295"/>
          <a:ext cx="11483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-pc\ENGENHARIA\AGUA%20LIMPA%20ALAMBRADO\ORCAMENTO%20ALAMB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SINAPI 08_2020"/>
      <sheetName val="COMPO. PROPRIAS"/>
      <sheetName val="RESUMO"/>
      <sheetName val="CRON"/>
      <sheetName val="BDI"/>
      <sheetName val="Encargos Sociais"/>
    </sheetNames>
    <sheetDataSet>
      <sheetData sheetId="0">
        <row r="7">
          <cell r="C7" t="str">
            <v xml:space="preserve">                                  Município: Santo Antonio do Leste - MT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view="pageBreakPreview" zoomScale="106" zoomScaleNormal="100" zoomScaleSheetLayoutView="106" workbookViewId="0">
      <selection activeCell="H12" sqref="H12:J14"/>
    </sheetView>
  </sheetViews>
  <sheetFormatPr defaultRowHeight="15" x14ac:dyDescent="0.25"/>
  <cols>
    <col min="2" max="2" width="0.42578125" customWidth="1"/>
    <col min="3" max="3" width="8.7109375" customWidth="1"/>
    <col min="4" max="4" width="12.7109375" customWidth="1"/>
    <col min="5" max="5" width="78.42578125" customWidth="1"/>
    <col min="6" max="6" width="8.140625" bestFit="1" customWidth="1"/>
    <col min="7" max="7" width="12.28515625" style="146" customWidth="1"/>
    <col min="8" max="8" width="9.28515625" style="146" customWidth="1"/>
    <col min="9" max="9" width="11.85546875" style="146" customWidth="1"/>
    <col min="10" max="10" width="13.140625" style="146" bestFit="1" customWidth="1"/>
    <col min="11" max="11" width="0.42578125" customWidth="1"/>
    <col min="13" max="14" width="11.28515625" bestFit="1" customWidth="1"/>
  </cols>
  <sheetData>
    <row r="1" spans="1:13" x14ac:dyDescent="0.25">
      <c r="B1" s="2"/>
    </row>
    <row r="2" spans="1:13" ht="15.75" thickBot="1" x14ac:dyDescent="0.3">
      <c r="A2" s="2"/>
      <c r="B2" s="12"/>
      <c r="C2" s="12"/>
      <c r="K2" s="12"/>
      <c r="L2" s="2"/>
    </row>
    <row r="3" spans="1:13" ht="3" customHeight="1" x14ac:dyDescent="0.25">
      <c r="A3" s="13"/>
      <c r="B3" s="9"/>
      <c r="C3" s="6"/>
      <c r="D3" s="6"/>
      <c r="E3" s="6"/>
      <c r="F3" s="6"/>
      <c r="G3" s="147"/>
      <c r="H3" s="147"/>
      <c r="I3" s="147"/>
      <c r="J3" s="147"/>
      <c r="K3" s="10"/>
      <c r="L3" s="2"/>
      <c r="M3" s="2"/>
    </row>
    <row r="4" spans="1:13" x14ac:dyDescent="0.25">
      <c r="B4" s="8"/>
      <c r="C4" s="3"/>
      <c r="D4" s="4"/>
      <c r="E4" s="4"/>
      <c r="F4" s="4"/>
      <c r="G4" s="148"/>
      <c r="H4" s="148"/>
      <c r="I4" s="148"/>
      <c r="J4" s="166"/>
      <c r="K4" s="7"/>
      <c r="L4" s="8"/>
    </row>
    <row r="5" spans="1:13" x14ac:dyDescent="0.25">
      <c r="B5" s="8"/>
      <c r="C5" s="5"/>
      <c r="D5" s="2"/>
      <c r="E5" s="2"/>
      <c r="F5" s="2"/>
      <c r="G5" s="149"/>
      <c r="H5" s="149"/>
      <c r="I5" s="149"/>
      <c r="J5" s="167"/>
      <c r="K5" s="7"/>
    </row>
    <row r="6" spans="1:13" x14ac:dyDescent="0.25">
      <c r="B6" s="8"/>
      <c r="C6" s="5"/>
      <c r="D6" s="2"/>
      <c r="E6" s="2"/>
      <c r="F6" s="2"/>
      <c r="G6" s="149"/>
      <c r="H6" s="149"/>
      <c r="I6" s="149"/>
      <c r="J6" s="167"/>
      <c r="K6" s="7"/>
    </row>
    <row r="7" spans="1:13" x14ac:dyDescent="0.25">
      <c r="B7" s="8"/>
      <c r="C7" s="5"/>
      <c r="D7" s="2"/>
      <c r="E7" s="2"/>
      <c r="F7" s="2"/>
      <c r="G7" s="149"/>
      <c r="H7" s="149"/>
      <c r="I7" s="149"/>
      <c r="J7" s="167"/>
      <c r="K7" s="7"/>
    </row>
    <row r="8" spans="1:13" x14ac:dyDescent="0.25">
      <c r="B8" s="8"/>
      <c r="C8" s="5"/>
      <c r="D8" s="2"/>
      <c r="E8" s="2"/>
      <c r="F8" s="2"/>
      <c r="G8" s="149"/>
      <c r="H8" s="149"/>
      <c r="I8" s="149"/>
      <c r="J8" s="167"/>
      <c r="K8" s="7"/>
    </row>
    <row r="9" spans="1:13" x14ac:dyDescent="0.25">
      <c r="B9" s="8"/>
      <c r="C9" s="5"/>
      <c r="D9" s="2"/>
      <c r="E9" s="2"/>
      <c r="F9" s="2"/>
      <c r="G9" s="149"/>
      <c r="H9" s="149"/>
      <c r="I9" s="149"/>
      <c r="J9" s="167"/>
      <c r="K9" s="7"/>
    </row>
    <row r="10" spans="1:13" x14ac:dyDescent="0.25">
      <c r="B10" s="8"/>
      <c r="C10" s="5"/>
      <c r="D10" s="2"/>
      <c r="E10" s="2"/>
      <c r="F10" s="2"/>
      <c r="G10" s="149"/>
      <c r="H10" s="149"/>
      <c r="I10" s="149"/>
      <c r="J10" s="167"/>
      <c r="K10" s="7"/>
    </row>
    <row r="11" spans="1:13" x14ac:dyDescent="0.25">
      <c r="B11" s="8"/>
      <c r="C11" s="5"/>
      <c r="D11" s="2"/>
      <c r="E11" s="2"/>
      <c r="F11" s="2"/>
      <c r="G11" s="149"/>
      <c r="H11" s="149"/>
      <c r="I11" s="149"/>
      <c r="J11" s="167"/>
      <c r="K11" s="7"/>
    </row>
    <row r="12" spans="1:13" ht="15" customHeight="1" x14ac:dyDescent="0.25">
      <c r="B12" s="8"/>
      <c r="C12" s="216" t="s">
        <v>8</v>
      </c>
      <c r="D12" s="219" t="s">
        <v>18</v>
      </c>
      <c r="E12" s="219"/>
      <c r="F12" s="14"/>
      <c r="G12" s="161"/>
      <c r="H12" s="222" t="s">
        <v>123</v>
      </c>
      <c r="I12" s="219"/>
      <c r="J12" s="223"/>
      <c r="K12" s="7"/>
    </row>
    <row r="13" spans="1:13" ht="15" customHeight="1" x14ac:dyDescent="0.25">
      <c r="B13" s="8"/>
      <c r="C13" s="217"/>
      <c r="D13" s="220"/>
      <c r="E13" s="220"/>
      <c r="F13" s="15"/>
      <c r="G13" s="162"/>
      <c r="H13" s="224"/>
      <c r="I13" s="220"/>
      <c r="J13" s="225"/>
      <c r="K13" s="7"/>
    </row>
    <row r="14" spans="1:13" x14ac:dyDescent="0.25">
      <c r="B14" s="8"/>
      <c r="C14" s="218"/>
      <c r="D14" s="221"/>
      <c r="E14" s="221"/>
      <c r="F14" s="16"/>
      <c r="G14" s="163"/>
      <c r="H14" s="226"/>
      <c r="I14" s="221"/>
      <c r="J14" s="227"/>
      <c r="K14" s="7"/>
    </row>
    <row r="15" spans="1:13" ht="16.5" customHeight="1" x14ac:dyDescent="0.25">
      <c r="B15" s="8"/>
      <c r="C15" s="5"/>
      <c r="D15" s="2"/>
      <c r="E15" s="2"/>
      <c r="F15" s="2"/>
      <c r="G15" s="149"/>
      <c r="I15" s="150" t="s">
        <v>9</v>
      </c>
      <c r="J15" s="211">
        <v>0.27629999999999999</v>
      </c>
      <c r="K15" s="7"/>
    </row>
    <row r="16" spans="1:13" x14ac:dyDescent="0.25">
      <c r="B16" s="8"/>
      <c r="C16" s="213" t="s">
        <v>15</v>
      </c>
      <c r="D16" s="214"/>
      <c r="E16" s="214"/>
      <c r="F16" s="214"/>
      <c r="G16" s="214"/>
      <c r="H16" s="214"/>
      <c r="I16" s="214"/>
      <c r="J16" s="168"/>
      <c r="K16" s="11"/>
    </row>
    <row r="17" spans="2:14" ht="25.5" x14ac:dyDescent="0.25">
      <c r="B17" s="8"/>
      <c r="C17" s="20" t="s">
        <v>16</v>
      </c>
      <c r="D17" s="17" t="s">
        <v>0</v>
      </c>
      <c r="E17" s="20" t="s">
        <v>1</v>
      </c>
      <c r="F17" s="18" t="s">
        <v>2</v>
      </c>
      <c r="G17" s="19" t="s">
        <v>3</v>
      </c>
      <c r="H17" s="19" t="s">
        <v>4</v>
      </c>
      <c r="I17" s="19" t="s">
        <v>5</v>
      </c>
      <c r="J17" s="21" t="s">
        <v>6</v>
      </c>
      <c r="K17" s="11"/>
    </row>
    <row r="18" spans="2:14" x14ac:dyDescent="0.25">
      <c r="B18" s="8"/>
      <c r="C18" s="29" t="s">
        <v>14</v>
      </c>
      <c r="D18" s="30"/>
      <c r="E18" s="31" t="s">
        <v>7</v>
      </c>
      <c r="F18" s="30"/>
      <c r="G18" s="164"/>
      <c r="H18" s="215" t="s">
        <v>17</v>
      </c>
      <c r="I18" s="215"/>
      <c r="J18" s="169">
        <f>SUM(J19:J20)</f>
        <v>4150.05</v>
      </c>
      <c r="K18" s="7"/>
      <c r="L18" s="66"/>
    </row>
    <row r="19" spans="2:14" x14ac:dyDescent="0.25">
      <c r="B19" s="8"/>
      <c r="C19" s="52" t="s">
        <v>48</v>
      </c>
      <c r="D19" s="52" t="s">
        <v>69</v>
      </c>
      <c r="E19" s="134" t="s">
        <v>70</v>
      </c>
      <c r="F19" s="52" t="s">
        <v>11</v>
      </c>
      <c r="G19" s="151">
        <v>2.5</v>
      </c>
      <c r="H19" s="172">
        <v>298.76</v>
      </c>
      <c r="I19" s="151">
        <f t="shared" ref="I19:I20" si="0">TRUNC(H19*(1+$J$15),2)</f>
        <v>381.3</v>
      </c>
      <c r="J19" s="151">
        <f t="shared" ref="J19:J20" si="1">TRUNC(I19*G19,2)</f>
        <v>953.25</v>
      </c>
      <c r="K19" s="7"/>
      <c r="L19" s="66">
        <f>J19/$J$37</f>
        <v>4.9320675920655199E-3</v>
      </c>
    </row>
    <row r="20" spans="2:14" ht="30" x14ac:dyDescent="0.25">
      <c r="B20" s="8"/>
      <c r="C20" s="52" t="s">
        <v>49</v>
      </c>
      <c r="D20" s="54">
        <v>93584</v>
      </c>
      <c r="E20" s="134" t="s">
        <v>57</v>
      </c>
      <c r="F20" s="52" t="s">
        <v>11</v>
      </c>
      <c r="G20" s="151">
        <v>4</v>
      </c>
      <c r="H20" s="172">
        <v>626.19000000000005</v>
      </c>
      <c r="I20" s="151">
        <f t="shared" si="0"/>
        <v>799.2</v>
      </c>
      <c r="J20" s="151">
        <f t="shared" si="1"/>
        <v>3196.8</v>
      </c>
      <c r="K20" s="7"/>
      <c r="L20" s="66">
        <f>J20/$J$37</f>
        <v>1.6540082536915874E-2</v>
      </c>
    </row>
    <row r="21" spans="2:14" ht="16.5" customHeight="1" x14ac:dyDescent="0.25">
      <c r="B21" s="8"/>
      <c r="C21" s="29" t="s">
        <v>25</v>
      </c>
      <c r="D21" s="29"/>
      <c r="E21" s="31" t="s">
        <v>19</v>
      </c>
      <c r="F21" s="30"/>
      <c r="G21" s="164"/>
      <c r="H21" s="228" t="s">
        <v>17</v>
      </c>
      <c r="I21" s="229"/>
      <c r="J21" s="169">
        <f>SUM(J23:J31)</f>
        <v>102729.66</v>
      </c>
      <c r="K21" s="7"/>
      <c r="L21" s="66"/>
    </row>
    <row r="22" spans="2:14" ht="16.5" customHeight="1" x14ac:dyDescent="0.25">
      <c r="B22" s="8"/>
      <c r="C22" s="57"/>
      <c r="D22" s="57"/>
      <c r="E22" s="60" t="s">
        <v>79</v>
      </c>
      <c r="F22" s="61"/>
      <c r="G22" s="152"/>
      <c r="H22" s="152"/>
      <c r="I22" s="152"/>
      <c r="J22" s="170"/>
      <c r="K22" s="7"/>
      <c r="L22" s="66"/>
    </row>
    <row r="23" spans="2:14" ht="30" x14ac:dyDescent="0.25">
      <c r="B23" s="8"/>
      <c r="C23" s="54" t="s">
        <v>52</v>
      </c>
      <c r="D23" s="52">
        <v>96523</v>
      </c>
      <c r="E23" s="134" t="s">
        <v>80</v>
      </c>
      <c r="F23" s="52" t="s">
        <v>13</v>
      </c>
      <c r="G23" s="151">
        <v>98.99</v>
      </c>
      <c r="H23" s="172">
        <v>63.8</v>
      </c>
      <c r="I23" s="151">
        <f>TRUNC(H23*(1+$J$15),2)</f>
        <v>81.42</v>
      </c>
      <c r="J23" s="151">
        <f t="shared" ref="J23" si="2">TRUNC(I23*G23,2)</f>
        <v>8059.76</v>
      </c>
      <c r="K23" s="7"/>
      <c r="L23" s="66">
        <f>J23/$J$37</f>
        <v>4.1700793176843429E-2</v>
      </c>
    </row>
    <row r="24" spans="2:14" ht="30" x14ac:dyDescent="0.25">
      <c r="B24" s="8"/>
      <c r="C24" s="58" t="s">
        <v>53</v>
      </c>
      <c r="D24" s="58">
        <v>94971</v>
      </c>
      <c r="E24" s="134" t="s">
        <v>104</v>
      </c>
      <c r="F24" s="58" t="s">
        <v>13</v>
      </c>
      <c r="G24" s="158">
        <v>84.79</v>
      </c>
      <c r="H24" s="172">
        <v>363.04</v>
      </c>
      <c r="I24" s="151">
        <f>TRUNC(H24*(1+$J$15),2)</f>
        <v>463.34</v>
      </c>
      <c r="J24" s="151">
        <f t="shared" ref="J24:J30" si="3">TRUNC(I24*G24,2)</f>
        <v>39286.589999999997</v>
      </c>
      <c r="K24" s="7"/>
      <c r="L24" s="66">
        <f>J24/$J$37</f>
        <v>0.20326684221533212</v>
      </c>
      <c r="N24" s="51"/>
    </row>
    <row r="25" spans="2:14" ht="30" x14ac:dyDescent="0.25">
      <c r="B25" s="8"/>
      <c r="C25" s="58" t="s">
        <v>102</v>
      </c>
      <c r="D25" s="52">
        <v>94962</v>
      </c>
      <c r="E25" s="134" t="s">
        <v>51</v>
      </c>
      <c r="F25" s="52" t="s">
        <v>13</v>
      </c>
      <c r="G25" s="151">
        <v>13.5</v>
      </c>
      <c r="H25" s="172">
        <v>283.32</v>
      </c>
      <c r="I25" s="151">
        <f>TRUNC(H25*(1+$J$15),2)</f>
        <v>361.6</v>
      </c>
      <c r="J25" s="151">
        <f>TRUNC(I25*G25,2)</f>
        <v>4881.6000000000004</v>
      </c>
      <c r="K25" s="7"/>
      <c r="L25" s="66">
        <f>J25/$J$37</f>
        <v>2.5257153063128295E-2</v>
      </c>
      <c r="N25" s="51"/>
    </row>
    <row r="26" spans="2:14" ht="30" x14ac:dyDescent="0.25">
      <c r="B26" s="8"/>
      <c r="C26" s="58" t="s">
        <v>63</v>
      </c>
      <c r="D26" s="52">
        <v>96546</v>
      </c>
      <c r="E26" s="143" t="s">
        <v>26</v>
      </c>
      <c r="F26" s="52" t="s">
        <v>12</v>
      </c>
      <c r="G26" s="151">
        <v>813.81</v>
      </c>
      <c r="H26" s="172">
        <v>15.78</v>
      </c>
      <c r="I26" s="151">
        <f t="shared" ref="I26:I30" si="4">TRUNC(H26*(1+$J$15),2)</f>
        <v>20.14</v>
      </c>
      <c r="J26" s="151">
        <f t="shared" si="3"/>
        <v>16390.13</v>
      </c>
      <c r="K26" s="7"/>
      <c r="L26" s="66">
        <f>J26/$J$37</f>
        <v>8.4801708893512559E-2</v>
      </c>
      <c r="N26" s="51"/>
    </row>
    <row r="27" spans="2:14" ht="30" x14ac:dyDescent="0.25">
      <c r="B27" s="8"/>
      <c r="C27" s="58" t="s">
        <v>103</v>
      </c>
      <c r="D27" s="52">
        <v>96544</v>
      </c>
      <c r="E27" s="143" t="s">
        <v>62</v>
      </c>
      <c r="F27" s="52" t="s">
        <v>12</v>
      </c>
      <c r="G27" s="151">
        <v>336.4</v>
      </c>
      <c r="H27" s="172">
        <v>18.05</v>
      </c>
      <c r="I27" s="151">
        <f t="shared" si="4"/>
        <v>23.03</v>
      </c>
      <c r="J27" s="151">
        <f t="shared" si="3"/>
        <v>7747.29</v>
      </c>
      <c r="K27" s="7"/>
      <c r="L27" s="66">
        <f>J27/$J$37</f>
        <v>4.0084089100795472E-2</v>
      </c>
      <c r="N27" s="51"/>
    </row>
    <row r="28" spans="2:14" ht="45" x14ac:dyDescent="0.25">
      <c r="B28" s="8"/>
      <c r="C28" s="58" t="s">
        <v>55</v>
      </c>
      <c r="D28" s="52">
        <v>92777</v>
      </c>
      <c r="E28" s="143" t="s">
        <v>111</v>
      </c>
      <c r="F28" s="52" t="s">
        <v>12</v>
      </c>
      <c r="G28" s="151">
        <v>15</v>
      </c>
      <c r="H28" s="172">
        <v>17.399999999999999</v>
      </c>
      <c r="I28" s="151">
        <f t="shared" si="4"/>
        <v>22.2</v>
      </c>
      <c r="J28" s="151">
        <f t="shared" si="3"/>
        <v>333</v>
      </c>
      <c r="K28" s="7"/>
      <c r="L28" s="66">
        <f t="shared" ref="L28:L29" si="5">J28/$J$37</f>
        <v>1.7229252642620701E-3</v>
      </c>
      <c r="N28" s="51"/>
    </row>
    <row r="29" spans="2:14" ht="45" x14ac:dyDescent="0.25">
      <c r="B29" s="8"/>
      <c r="C29" s="58" t="s">
        <v>56</v>
      </c>
      <c r="D29" s="52">
        <v>92776</v>
      </c>
      <c r="E29" s="143" t="s">
        <v>117</v>
      </c>
      <c r="F29" s="52" t="s">
        <v>12</v>
      </c>
      <c r="G29" s="151">
        <v>304</v>
      </c>
      <c r="H29" s="172">
        <v>18.09</v>
      </c>
      <c r="I29" s="151">
        <f t="shared" si="4"/>
        <v>23.08</v>
      </c>
      <c r="J29" s="151">
        <f t="shared" si="3"/>
        <v>7016.32</v>
      </c>
      <c r="K29" s="7"/>
      <c r="L29" s="66">
        <f t="shared" si="5"/>
        <v>3.6302087057499238E-2</v>
      </c>
      <c r="N29" s="51"/>
    </row>
    <row r="30" spans="2:14" ht="30" x14ac:dyDescent="0.25">
      <c r="B30" s="8"/>
      <c r="C30" s="52" t="s">
        <v>112</v>
      </c>
      <c r="D30" s="97">
        <v>90280</v>
      </c>
      <c r="E30" s="144" t="s">
        <v>83</v>
      </c>
      <c r="F30" s="52" t="s">
        <v>13</v>
      </c>
      <c r="G30" s="151">
        <v>14.26</v>
      </c>
      <c r="H30" s="172">
        <v>392.39</v>
      </c>
      <c r="I30" s="151">
        <f t="shared" si="4"/>
        <v>500.8</v>
      </c>
      <c r="J30" s="151">
        <f t="shared" si="3"/>
        <v>7141.4</v>
      </c>
      <c r="K30" s="7"/>
      <c r="L30" s="66">
        <f>J25/$J$37</f>
        <v>2.5257153063128295E-2</v>
      </c>
      <c r="N30" s="51"/>
    </row>
    <row r="31" spans="2:14" x14ac:dyDescent="0.25">
      <c r="B31" s="8"/>
      <c r="C31" s="52" t="s">
        <v>113</v>
      </c>
      <c r="D31" s="52">
        <v>98557</v>
      </c>
      <c r="E31" s="137" t="s">
        <v>54</v>
      </c>
      <c r="F31" s="52" t="s">
        <v>11</v>
      </c>
      <c r="G31" s="151">
        <v>269.12</v>
      </c>
      <c r="H31" s="172">
        <v>34.57</v>
      </c>
      <c r="I31" s="151">
        <f>TRUNC(H31*(1+$J$15),2)</f>
        <v>44.12</v>
      </c>
      <c r="J31" s="151">
        <f>TRUNC(I31*G31,2)</f>
        <v>11873.57</v>
      </c>
      <c r="K31" s="7"/>
      <c r="L31" s="66">
        <f>J31/$J$37</f>
        <v>6.1433254444396956E-2</v>
      </c>
      <c r="N31" s="51"/>
    </row>
    <row r="32" spans="2:14" x14ac:dyDescent="0.25">
      <c r="B32" s="8"/>
      <c r="C32" s="29" t="s">
        <v>64</v>
      </c>
      <c r="D32" s="33"/>
      <c r="E32" s="53" t="s">
        <v>20</v>
      </c>
      <c r="F32" s="34"/>
      <c r="G32" s="165"/>
      <c r="H32" s="228" t="s">
        <v>17</v>
      </c>
      <c r="I32" s="229"/>
      <c r="J32" s="171">
        <f>SUM(J33:J35)</f>
        <v>86396.23000000001</v>
      </c>
      <c r="K32" s="7"/>
      <c r="L32" s="66"/>
      <c r="N32" s="51"/>
    </row>
    <row r="33" spans="1:14" ht="45" x14ac:dyDescent="0.25">
      <c r="B33" s="8"/>
      <c r="C33" s="52" t="s">
        <v>98</v>
      </c>
      <c r="D33" s="52">
        <v>87453</v>
      </c>
      <c r="E33" s="134" t="s">
        <v>65</v>
      </c>
      <c r="F33" s="52" t="s">
        <v>11</v>
      </c>
      <c r="G33" s="151">
        <v>774.65</v>
      </c>
      <c r="H33" s="172">
        <v>50.35</v>
      </c>
      <c r="I33" s="151">
        <f>TRUNC(H33*(1+$J$15),2)</f>
        <v>64.260000000000005</v>
      </c>
      <c r="J33" s="151">
        <f>TRUNC(I33*G33,2)</f>
        <v>49779</v>
      </c>
      <c r="K33" s="7"/>
      <c r="L33" s="66">
        <f>J33/$J$37</f>
        <v>0.25755404423333811</v>
      </c>
      <c r="M33" s="32"/>
      <c r="N33" s="51"/>
    </row>
    <row r="34" spans="1:14" ht="60" x14ac:dyDescent="0.25">
      <c r="B34" s="8"/>
      <c r="C34" s="52" t="s">
        <v>99</v>
      </c>
      <c r="D34" s="52" t="s">
        <v>97</v>
      </c>
      <c r="E34" s="134" t="s">
        <v>96</v>
      </c>
      <c r="F34" s="52" t="s">
        <v>10</v>
      </c>
      <c r="G34" s="151">
        <v>58</v>
      </c>
      <c r="H34" s="172">
        <v>18.04</v>
      </c>
      <c r="I34" s="151">
        <f>TRUNC(H34*(1+$J$15),2)</f>
        <v>23.02</v>
      </c>
      <c r="J34" s="151">
        <f>TRUNC(I34*G34,2)</f>
        <v>1335.16</v>
      </c>
      <c r="K34" s="7"/>
      <c r="L34" s="66">
        <f>J34/$J$37</f>
        <v>6.9080507382346711E-3</v>
      </c>
      <c r="M34" s="32"/>
      <c r="N34" s="51"/>
    </row>
    <row r="35" spans="1:14" ht="30" x14ac:dyDescent="0.25">
      <c r="B35" s="8"/>
      <c r="C35" s="52" t="s">
        <v>100</v>
      </c>
      <c r="D35" s="52">
        <v>93205</v>
      </c>
      <c r="E35" s="136" t="s">
        <v>66</v>
      </c>
      <c r="F35" s="52" t="s">
        <v>10</v>
      </c>
      <c r="G35" s="151">
        <v>837.06</v>
      </c>
      <c r="H35" s="172">
        <v>33.03</v>
      </c>
      <c r="I35" s="151">
        <f>TRUNC(H35*(1+$J$15),2)</f>
        <v>42.15</v>
      </c>
      <c r="J35" s="151">
        <f>TRUNC(I35*G35,2)</f>
        <v>35282.07</v>
      </c>
      <c r="K35" s="7"/>
      <c r="L35" s="66">
        <f>J35/$J$37</f>
        <v>0.18254765699238093</v>
      </c>
      <c r="N35" s="51"/>
    </row>
    <row r="36" spans="1:14" ht="3.75" customHeight="1" x14ac:dyDescent="0.25">
      <c r="B36" s="8"/>
      <c r="C36" s="64"/>
      <c r="D36" s="64"/>
      <c r="E36" s="62"/>
      <c r="F36" s="63"/>
      <c r="G36" s="153"/>
      <c r="H36" s="153"/>
      <c r="I36" s="153"/>
      <c r="J36" s="153"/>
      <c r="K36" s="7"/>
      <c r="N36" s="51"/>
    </row>
    <row r="37" spans="1:14" x14ac:dyDescent="0.25">
      <c r="B37" s="8"/>
      <c r="C37" s="230" t="s">
        <v>61</v>
      </c>
      <c r="D37" s="230"/>
      <c r="E37" s="230"/>
      <c r="F37" s="230"/>
      <c r="G37" s="230"/>
      <c r="H37" s="230"/>
      <c r="I37" s="230"/>
      <c r="J37" s="173">
        <f>SUM(J18:J35)/2</f>
        <v>193275.94</v>
      </c>
      <c r="K37" s="7"/>
    </row>
    <row r="38" spans="1:14" x14ac:dyDescent="0.25">
      <c r="B38" s="8"/>
      <c r="C38" s="231" t="s">
        <v>125</v>
      </c>
      <c r="D38" s="231"/>
      <c r="E38" s="231"/>
      <c r="F38" s="231"/>
      <c r="G38" s="231"/>
      <c r="H38" s="231"/>
      <c r="I38" s="231"/>
      <c r="J38" s="231"/>
      <c r="K38" s="7"/>
    </row>
    <row r="39" spans="1:14" x14ac:dyDescent="0.25">
      <c r="A39" s="2"/>
      <c r="B39" s="2"/>
      <c r="C39" s="65"/>
      <c r="D39" s="47"/>
      <c r="E39" s="48"/>
      <c r="F39" s="47"/>
      <c r="G39" s="159"/>
      <c r="H39" s="159"/>
      <c r="I39" s="154"/>
      <c r="J39" s="154"/>
      <c r="K39" s="2"/>
    </row>
    <row r="40" spans="1:14" x14ac:dyDescent="0.25">
      <c r="A40" s="2"/>
      <c r="B40" s="2"/>
      <c r="C40" s="26"/>
      <c r="D40" s="232" t="s">
        <v>124</v>
      </c>
      <c r="E40" s="232"/>
      <c r="F40" s="47"/>
      <c r="G40" s="159"/>
      <c r="H40" s="159"/>
      <c r="I40" s="154"/>
      <c r="J40" s="154"/>
      <c r="K40" s="2"/>
      <c r="L40" s="2"/>
      <c r="N40" s="51"/>
    </row>
    <row r="41" spans="1:14" x14ac:dyDescent="0.25">
      <c r="A41" s="2"/>
      <c r="B41" s="2"/>
      <c r="C41" s="2"/>
      <c r="D41" s="25"/>
      <c r="F41" s="25"/>
      <c r="G41" s="155"/>
      <c r="H41" s="160"/>
      <c r="I41" s="155"/>
      <c r="J41" s="155"/>
      <c r="K41" s="2"/>
      <c r="L41" s="2"/>
    </row>
    <row r="42" spans="1:14" x14ac:dyDescent="0.25">
      <c r="A42" s="2"/>
      <c r="B42" s="2"/>
      <c r="C42" s="2"/>
      <c r="D42" s="22"/>
      <c r="E42" s="2"/>
      <c r="F42" s="91" t="s">
        <v>88</v>
      </c>
      <c r="G42" s="155"/>
      <c r="H42" s="155"/>
      <c r="I42" s="155"/>
      <c r="J42" s="155"/>
      <c r="K42" s="2"/>
      <c r="L42" s="2"/>
    </row>
    <row r="43" spans="1:14" x14ac:dyDescent="0.25">
      <c r="A43" s="2"/>
      <c r="B43" s="2"/>
      <c r="C43" s="2"/>
      <c r="D43" s="22"/>
      <c r="F43" s="91" t="s">
        <v>72</v>
      </c>
      <c r="G43" s="155"/>
      <c r="H43" s="155"/>
      <c r="I43" s="155"/>
      <c r="J43" s="155"/>
      <c r="K43" s="2"/>
      <c r="L43" s="2"/>
    </row>
    <row r="44" spans="1:14" x14ac:dyDescent="0.25">
      <c r="A44" s="2"/>
      <c r="B44" s="2"/>
      <c r="C44" s="2"/>
      <c r="D44" s="22"/>
      <c r="F44" s="91" t="s">
        <v>89</v>
      </c>
      <c r="G44" s="155"/>
      <c r="H44" s="155"/>
      <c r="I44" s="155"/>
      <c r="J44" s="155"/>
      <c r="K44" s="2"/>
      <c r="L44" s="2"/>
    </row>
    <row r="45" spans="1:14" x14ac:dyDescent="0.25">
      <c r="A45" s="2"/>
      <c r="B45" s="2"/>
      <c r="C45" s="22"/>
      <c r="D45" s="22"/>
      <c r="F45" s="22"/>
      <c r="G45" s="156"/>
      <c r="H45" s="156"/>
      <c r="I45" s="156"/>
      <c r="J45" s="156"/>
      <c r="K45" s="2"/>
      <c r="L45" s="2"/>
    </row>
    <row r="46" spans="1:14" x14ac:dyDescent="0.25">
      <c r="A46" s="2"/>
      <c r="B46" s="2"/>
      <c r="C46" s="22"/>
      <c r="D46" s="22"/>
      <c r="F46" s="22"/>
      <c r="G46" s="156"/>
      <c r="H46" s="156"/>
      <c r="I46" s="156"/>
      <c r="J46" s="156"/>
      <c r="K46" s="2"/>
      <c r="L46" s="2"/>
    </row>
    <row r="47" spans="1:14" x14ac:dyDescent="0.25">
      <c r="A47" s="2"/>
      <c r="B47" s="2"/>
      <c r="C47" s="22"/>
      <c r="D47" s="22"/>
      <c r="E47" s="23"/>
      <c r="F47" s="22"/>
      <c r="G47" s="156"/>
      <c r="H47" s="156"/>
      <c r="I47" s="156"/>
      <c r="J47" s="156"/>
      <c r="K47" s="2"/>
      <c r="L47" s="2"/>
    </row>
    <row r="48" spans="1:14" x14ac:dyDescent="0.25">
      <c r="A48" s="2"/>
      <c r="B48" s="2"/>
      <c r="C48" s="22"/>
      <c r="D48" s="22"/>
      <c r="E48" s="23"/>
      <c r="F48" s="22"/>
      <c r="G48" s="156"/>
      <c r="H48" s="156"/>
      <c r="I48" s="156"/>
      <c r="J48" s="156"/>
      <c r="K48" s="2"/>
      <c r="L48" s="2"/>
    </row>
    <row r="49" spans="1:12" x14ac:dyDescent="0.25">
      <c r="A49" s="2"/>
      <c r="B49" s="2"/>
      <c r="C49" s="26"/>
      <c r="D49" s="26"/>
      <c r="E49" s="24"/>
      <c r="F49" s="26"/>
      <c r="G49" s="157"/>
      <c r="H49" s="157"/>
      <c r="I49" s="157"/>
      <c r="J49" s="157"/>
      <c r="K49" s="2"/>
      <c r="L49" s="2"/>
    </row>
    <row r="50" spans="1:12" x14ac:dyDescent="0.25">
      <c r="A50" s="2"/>
      <c r="B50" s="2"/>
      <c r="C50" s="26"/>
      <c r="D50" s="26"/>
      <c r="E50" s="24"/>
      <c r="F50" s="26"/>
      <c r="G50" s="157"/>
      <c r="H50" s="157"/>
      <c r="I50" s="157"/>
      <c r="J50" s="157"/>
      <c r="K50" s="2"/>
      <c r="L50" s="2"/>
    </row>
    <row r="51" spans="1:12" x14ac:dyDescent="0.25">
      <c r="A51" s="2"/>
      <c r="B51" s="2"/>
      <c r="C51" s="26"/>
      <c r="D51" s="26"/>
      <c r="E51" s="24"/>
      <c r="F51" s="26"/>
      <c r="G51" s="157"/>
      <c r="H51" s="157"/>
      <c r="I51" s="157"/>
      <c r="J51" s="157"/>
      <c r="K51" s="2"/>
      <c r="L51" s="2"/>
    </row>
    <row r="52" spans="1:12" x14ac:dyDescent="0.25">
      <c r="A52" s="2"/>
      <c r="B52" s="2"/>
      <c r="C52" s="49"/>
      <c r="D52" s="26"/>
      <c r="E52" s="24"/>
      <c r="F52" s="26"/>
      <c r="G52" s="157"/>
      <c r="H52" s="157"/>
      <c r="I52" s="157"/>
      <c r="J52" s="157"/>
      <c r="K52" s="2"/>
      <c r="L52" s="2"/>
    </row>
    <row r="53" spans="1:12" x14ac:dyDescent="0.25">
      <c r="A53" s="2"/>
      <c r="B53" s="2"/>
      <c r="C53" s="49"/>
      <c r="D53" s="49"/>
      <c r="E53" s="49"/>
      <c r="F53" s="26"/>
      <c r="G53" s="157"/>
      <c r="H53" s="212"/>
      <c r="I53" s="212"/>
      <c r="J53" s="157"/>
      <c r="K53" s="2"/>
      <c r="L53" s="2"/>
    </row>
    <row r="54" spans="1:12" x14ac:dyDescent="0.25">
      <c r="A54" s="2"/>
      <c r="B54" s="2"/>
      <c r="C54" s="49"/>
      <c r="D54" s="26"/>
      <c r="E54" s="27"/>
      <c r="F54" s="26"/>
      <c r="G54" s="157"/>
      <c r="H54" s="157"/>
      <c r="I54" s="157"/>
      <c r="J54" s="157"/>
      <c r="K54" s="2"/>
      <c r="L54" s="2"/>
    </row>
    <row r="55" spans="1:12" x14ac:dyDescent="0.25">
      <c r="A55" s="2"/>
      <c r="B55" s="2"/>
      <c r="C55" s="49"/>
      <c r="D55" s="26"/>
      <c r="E55" s="27"/>
      <c r="F55" s="26"/>
      <c r="G55" s="157"/>
      <c r="H55" s="157"/>
      <c r="I55" s="157"/>
      <c r="J55" s="157"/>
      <c r="K55" s="2"/>
      <c r="L55" s="2"/>
    </row>
    <row r="56" spans="1:12" x14ac:dyDescent="0.25">
      <c r="A56" s="2"/>
      <c r="B56" s="2"/>
      <c r="C56" s="49"/>
      <c r="D56" s="26"/>
      <c r="E56" s="27"/>
      <c r="F56" s="26"/>
      <c r="G56" s="157"/>
      <c r="H56" s="157"/>
      <c r="I56" s="157"/>
      <c r="J56" s="157"/>
      <c r="K56" s="2"/>
      <c r="L56" s="2"/>
    </row>
    <row r="57" spans="1:12" x14ac:dyDescent="0.25">
      <c r="A57" s="2"/>
      <c r="B57" s="2"/>
      <c r="C57" s="49"/>
      <c r="D57" s="26"/>
      <c r="E57" s="27"/>
      <c r="F57" s="26"/>
      <c r="G57" s="157"/>
      <c r="H57" s="157"/>
      <c r="I57" s="157"/>
      <c r="J57" s="157"/>
      <c r="K57" s="2"/>
      <c r="L57" s="2"/>
    </row>
    <row r="58" spans="1:12" x14ac:dyDescent="0.25">
      <c r="A58" s="2"/>
      <c r="B58" s="2"/>
      <c r="C58" s="49"/>
      <c r="D58" s="26"/>
      <c r="E58" s="24"/>
      <c r="F58" s="26"/>
      <c r="G58" s="157"/>
      <c r="H58" s="157"/>
      <c r="I58" s="157"/>
      <c r="J58" s="157"/>
      <c r="K58" s="2"/>
      <c r="L58" s="2"/>
    </row>
    <row r="59" spans="1:12" x14ac:dyDescent="0.25">
      <c r="A59" s="2"/>
      <c r="B59" s="2"/>
      <c r="C59" s="49"/>
      <c r="D59" s="26"/>
      <c r="E59" s="27"/>
      <c r="F59" s="26"/>
      <c r="G59" s="157"/>
      <c r="H59" s="157"/>
      <c r="I59" s="157"/>
      <c r="J59" s="157"/>
      <c r="K59" s="2"/>
      <c r="L59" s="2"/>
    </row>
    <row r="60" spans="1:12" x14ac:dyDescent="0.25">
      <c r="A60" s="2"/>
      <c r="B60" s="2"/>
      <c r="C60" s="49"/>
      <c r="D60" s="26"/>
      <c r="E60" s="27"/>
      <c r="F60" s="26"/>
      <c r="G60" s="157"/>
      <c r="H60" s="157"/>
      <c r="I60" s="157"/>
      <c r="J60" s="157"/>
      <c r="K60" s="2"/>
      <c r="L60" s="2"/>
    </row>
    <row r="61" spans="1:12" x14ac:dyDescent="0.25">
      <c r="A61" s="2"/>
      <c r="B61" s="2"/>
      <c r="C61" s="49"/>
      <c r="D61" s="26"/>
      <c r="E61" s="56"/>
      <c r="F61" s="26"/>
      <c r="G61" s="157"/>
      <c r="H61" s="157"/>
      <c r="I61" s="157"/>
      <c r="J61" s="157"/>
      <c r="K61" s="2"/>
      <c r="L61" s="2"/>
    </row>
    <row r="62" spans="1:12" x14ac:dyDescent="0.25">
      <c r="A62" s="2"/>
      <c r="B62" s="2"/>
      <c r="C62" s="49"/>
      <c r="D62" s="26"/>
      <c r="E62" s="55"/>
      <c r="F62" s="26"/>
      <c r="G62" s="157"/>
      <c r="H62" s="157"/>
      <c r="I62" s="157"/>
      <c r="J62" s="157"/>
      <c r="K62" s="2"/>
      <c r="L62" s="2"/>
    </row>
    <row r="63" spans="1:12" x14ac:dyDescent="0.25">
      <c r="A63" s="2"/>
      <c r="B63" s="2"/>
      <c r="C63" s="49"/>
      <c r="D63" s="26"/>
      <c r="E63" s="55"/>
      <c r="F63" s="26"/>
      <c r="G63" s="157"/>
      <c r="H63" s="157"/>
      <c r="I63" s="157"/>
      <c r="J63" s="157"/>
      <c r="K63" s="2"/>
      <c r="L63" s="2"/>
    </row>
    <row r="64" spans="1:12" x14ac:dyDescent="0.25">
      <c r="A64" s="2"/>
      <c r="B64" s="2"/>
      <c r="C64" s="49"/>
      <c r="D64" s="26"/>
      <c r="E64" s="55"/>
      <c r="F64" s="26"/>
      <c r="G64" s="157"/>
      <c r="H64" s="157"/>
      <c r="I64" s="157"/>
      <c r="J64" s="157"/>
      <c r="K64" s="2"/>
      <c r="L64" s="2"/>
    </row>
    <row r="65" spans="1:12" x14ac:dyDescent="0.25">
      <c r="A65" s="2"/>
      <c r="B65" s="2"/>
      <c r="C65" s="2"/>
      <c r="D65" s="22"/>
      <c r="E65" s="2"/>
      <c r="F65" s="22"/>
      <c r="G65" s="149"/>
      <c r="H65" s="156"/>
      <c r="I65" s="149"/>
      <c r="J65" s="149"/>
      <c r="K65" s="2"/>
      <c r="L65" s="2"/>
    </row>
    <row r="66" spans="1:12" x14ac:dyDescent="0.25">
      <c r="A66" s="2"/>
      <c r="B66" s="2"/>
      <c r="C66" s="2"/>
      <c r="D66" s="22"/>
      <c r="E66" s="2"/>
      <c r="F66" s="22"/>
      <c r="G66" s="149"/>
      <c r="H66" s="156"/>
      <c r="I66" s="149"/>
      <c r="J66" s="149"/>
      <c r="K66" s="2"/>
      <c r="L66" s="2"/>
    </row>
    <row r="67" spans="1:12" x14ac:dyDescent="0.25">
      <c r="A67" s="2"/>
      <c r="B67" s="2"/>
      <c r="C67" s="2"/>
      <c r="D67" s="22"/>
      <c r="E67" s="2"/>
      <c r="F67" s="22"/>
      <c r="G67" s="149"/>
      <c r="H67" s="156"/>
      <c r="I67" s="149"/>
      <c r="J67" s="149"/>
      <c r="K67" s="2"/>
      <c r="L67" s="2"/>
    </row>
    <row r="68" spans="1:12" x14ac:dyDescent="0.25">
      <c r="A68" s="2"/>
      <c r="B68" s="2"/>
      <c r="C68" s="2"/>
      <c r="D68" s="22"/>
      <c r="E68" s="2"/>
      <c r="F68" s="22"/>
      <c r="G68" s="149"/>
      <c r="H68" s="156"/>
      <c r="I68" s="149"/>
      <c r="J68" s="149"/>
      <c r="K68" s="2"/>
      <c r="L68" s="2"/>
    </row>
    <row r="69" spans="1:12" x14ac:dyDescent="0.25">
      <c r="A69" s="2"/>
      <c r="B69" s="2"/>
      <c r="C69" s="2"/>
      <c r="D69" s="22"/>
      <c r="E69" s="2"/>
      <c r="F69" s="22"/>
      <c r="G69" s="149"/>
      <c r="H69" s="156"/>
      <c r="I69" s="149"/>
      <c r="J69" s="149"/>
      <c r="K69" s="2"/>
      <c r="L69" s="2"/>
    </row>
    <row r="70" spans="1:12" x14ac:dyDescent="0.25">
      <c r="A70" s="2"/>
      <c r="B70" s="2"/>
      <c r="C70" s="2"/>
      <c r="D70" s="22"/>
      <c r="E70" s="2"/>
      <c r="F70" s="22"/>
      <c r="G70" s="149"/>
      <c r="H70" s="156"/>
      <c r="I70" s="149"/>
      <c r="J70" s="149"/>
      <c r="K70" s="2"/>
      <c r="L70" s="2"/>
    </row>
    <row r="71" spans="1:12" x14ac:dyDescent="0.25">
      <c r="A71" s="2"/>
      <c r="B71" s="2"/>
      <c r="C71" s="2"/>
      <c r="D71" s="22"/>
      <c r="E71" s="2"/>
      <c r="F71" s="22"/>
      <c r="G71" s="149"/>
      <c r="H71" s="156"/>
      <c r="I71" s="149"/>
      <c r="J71" s="149"/>
      <c r="K71" s="2"/>
      <c r="L71" s="2"/>
    </row>
    <row r="72" spans="1:12" x14ac:dyDescent="0.25">
      <c r="A72" s="2"/>
      <c r="B72" s="2"/>
      <c r="C72" s="2"/>
      <c r="D72" s="22"/>
      <c r="E72" s="2"/>
      <c r="F72" s="22"/>
      <c r="G72" s="149"/>
      <c r="H72" s="156"/>
      <c r="I72" s="149"/>
      <c r="J72" s="149"/>
      <c r="K72" s="2"/>
      <c r="L72" s="2"/>
    </row>
    <row r="73" spans="1:12" x14ac:dyDescent="0.25">
      <c r="A73" s="2"/>
      <c r="B73" s="2"/>
      <c r="C73" s="2"/>
      <c r="D73" s="22"/>
      <c r="E73" s="2"/>
      <c r="F73" s="22"/>
      <c r="G73" s="149"/>
      <c r="H73" s="156"/>
      <c r="I73" s="149"/>
      <c r="J73" s="149"/>
      <c r="K73" s="2"/>
      <c r="L73" s="2"/>
    </row>
    <row r="74" spans="1:12" x14ac:dyDescent="0.25">
      <c r="A74" s="2"/>
      <c r="B74" s="2"/>
      <c r="C74" s="2"/>
      <c r="D74" s="22"/>
      <c r="E74" s="2"/>
      <c r="F74" s="22"/>
      <c r="G74" s="149"/>
      <c r="H74" s="156"/>
      <c r="I74" s="149"/>
      <c r="J74" s="149"/>
      <c r="K74" s="2"/>
      <c r="L74" s="2"/>
    </row>
    <row r="75" spans="1:12" x14ac:dyDescent="0.25">
      <c r="A75" s="2"/>
      <c r="B75" s="2"/>
      <c r="C75" s="2"/>
      <c r="D75" s="22"/>
      <c r="E75" s="2"/>
      <c r="F75" s="22"/>
      <c r="G75" s="149"/>
      <c r="H75" s="156"/>
      <c r="I75" s="149"/>
      <c r="J75" s="149"/>
      <c r="K75" s="2"/>
      <c r="L75" s="2"/>
    </row>
    <row r="76" spans="1:12" x14ac:dyDescent="0.25">
      <c r="A76" s="2"/>
      <c r="B76" s="2"/>
      <c r="C76" s="2"/>
      <c r="D76" s="22"/>
      <c r="E76" s="2"/>
      <c r="F76" s="22"/>
      <c r="G76" s="149"/>
      <c r="H76" s="156"/>
      <c r="I76" s="149"/>
      <c r="J76" s="149"/>
      <c r="K76" s="2"/>
      <c r="L76" s="2"/>
    </row>
    <row r="77" spans="1:12" x14ac:dyDescent="0.25">
      <c r="A77" s="2"/>
      <c r="B77" s="2"/>
      <c r="C77" s="2"/>
      <c r="D77" s="22"/>
      <c r="E77" s="2"/>
      <c r="F77" s="22"/>
      <c r="G77" s="149"/>
      <c r="H77" s="156"/>
      <c r="I77" s="149"/>
      <c r="J77" s="149"/>
      <c r="K77" s="2"/>
      <c r="L77" s="2"/>
    </row>
    <row r="78" spans="1:12" x14ac:dyDescent="0.25">
      <c r="J78" s="149"/>
      <c r="K78" s="2"/>
      <c r="L78" s="2"/>
    </row>
    <row r="79" spans="1:12" x14ac:dyDescent="0.25">
      <c r="L79" s="2"/>
    </row>
    <row r="80" spans="1:12" x14ac:dyDescent="0.25">
      <c r="L80" s="2"/>
    </row>
    <row r="81" spans="12:12" x14ac:dyDescent="0.25">
      <c r="L81" s="2"/>
    </row>
    <row r="82" spans="12:12" x14ac:dyDescent="0.25">
      <c r="L82" s="2"/>
    </row>
    <row r="83" spans="12:12" x14ac:dyDescent="0.25">
      <c r="L83" s="2"/>
    </row>
    <row r="84" spans="12:12" x14ac:dyDescent="0.25">
      <c r="L84" s="2"/>
    </row>
    <row r="85" spans="12:12" x14ac:dyDescent="0.25">
      <c r="L85" s="2"/>
    </row>
    <row r="86" spans="12:12" x14ac:dyDescent="0.25">
      <c r="L86" s="2"/>
    </row>
    <row r="87" spans="12:12" x14ac:dyDescent="0.25">
      <c r="L87" s="2"/>
    </row>
    <row r="88" spans="12:12" x14ac:dyDescent="0.25">
      <c r="L88" s="2"/>
    </row>
    <row r="89" spans="12:12" x14ac:dyDescent="0.25">
      <c r="L89" s="2"/>
    </row>
    <row r="90" spans="12:12" x14ac:dyDescent="0.25">
      <c r="L90" s="2"/>
    </row>
    <row r="91" spans="12:12" x14ac:dyDescent="0.25">
      <c r="L91" s="2"/>
    </row>
    <row r="92" spans="12:12" x14ac:dyDescent="0.25">
      <c r="L92" s="2"/>
    </row>
    <row r="93" spans="12:12" x14ac:dyDescent="0.25">
      <c r="L93" s="2"/>
    </row>
    <row r="94" spans="12:12" x14ac:dyDescent="0.25">
      <c r="L94" s="2"/>
    </row>
    <row r="95" spans="12:12" x14ac:dyDescent="0.25">
      <c r="L95" s="2"/>
    </row>
    <row r="96" spans="12:12" x14ac:dyDescent="0.25">
      <c r="L96" s="2"/>
    </row>
    <row r="97" spans="12:12" x14ac:dyDescent="0.25">
      <c r="L97" s="2"/>
    </row>
    <row r="98" spans="12:12" x14ac:dyDescent="0.25">
      <c r="L98" s="2"/>
    </row>
    <row r="99" spans="12:12" x14ac:dyDescent="0.25">
      <c r="L99" s="2"/>
    </row>
    <row r="100" spans="12:12" x14ac:dyDescent="0.25">
      <c r="L100" s="2"/>
    </row>
    <row r="101" spans="12:12" x14ac:dyDescent="0.25">
      <c r="L101" s="2"/>
    </row>
  </sheetData>
  <mergeCells count="11">
    <mergeCell ref="H53:I53"/>
    <mergeCell ref="C16:I16"/>
    <mergeCell ref="H18:I18"/>
    <mergeCell ref="C12:C14"/>
    <mergeCell ref="D12:E14"/>
    <mergeCell ref="H12:J14"/>
    <mergeCell ref="H21:I21"/>
    <mergeCell ref="C37:I37"/>
    <mergeCell ref="H32:I32"/>
    <mergeCell ref="C38:J38"/>
    <mergeCell ref="D40:E40"/>
  </mergeCells>
  <phoneticPr fontId="8" type="noConversion"/>
  <conditionalFormatting sqref="L18:L3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8"/>
  <sheetViews>
    <sheetView workbookViewId="0">
      <selection activeCell="E24" sqref="E24"/>
    </sheetView>
  </sheetViews>
  <sheetFormatPr defaultRowHeight="15" x14ac:dyDescent="0.25"/>
  <cols>
    <col min="2" max="2" width="39.7109375" bestFit="1" customWidth="1"/>
    <col min="3" max="3" width="10.5703125" bestFit="1" customWidth="1"/>
    <col min="4" max="4" width="18.5703125" bestFit="1" customWidth="1"/>
    <col min="5" max="5" width="37.42578125" bestFit="1" customWidth="1"/>
    <col min="6" max="6" width="23.5703125" bestFit="1" customWidth="1"/>
    <col min="7" max="8" width="9.140625" customWidth="1"/>
    <col min="9" max="9" width="9.28515625" customWidth="1"/>
    <col min="11" max="11" width="21.5703125" bestFit="1" customWidth="1"/>
    <col min="13" max="13" width="24.140625" bestFit="1" customWidth="1"/>
    <col min="14" max="14" width="16" bestFit="1" customWidth="1"/>
    <col min="16" max="16" width="21.85546875" bestFit="1" customWidth="1"/>
  </cols>
  <sheetData>
    <row r="3" spans="2:17" x14ac:dyDescent="0.25">
      <c r="B3" s="98" t="s">
        <v>106</v>
      </c>
      <c r="C3" s="98" t="s">
        <v>21</v>
      </c>
      <c r="L3" s="93"/>
      <c r="M3" s="93"/>
      <c r="N3" s="93"/>
      <c r="O3" s="93"/>
      <c r="P3" s="93"/>
      <c r="Q3" s="93"/>
    </row>
    <row r="4" spans="2:17" x14ac:dyDescent="0.25">
      <c r="B4" s="1" t="s">
        <v>105</v>
      </c>
      <c r="C4" s="138">
        <f>(20*C10)*150</f>
        <v>9.4050000000000011</v>
      </c>
      <c r="D4" s="92"/>
      <c r="F4" s="100" t="s">
        <v>86</v>
      </c>
      <c r="G4" s="98" t="s">
        <v>29</v>
      </c>
      <c r="H4" s="98" t="s">
        <v>30</v>
      </c>
      <c r="I4" s="98" t="s">
        <v>23</v>
      </c>
      <c r="L4" s="92"/>
      <c r="M4" s="92"/>
      <c r="N4" s="92"/>
      <c r="O4" s="92"/>
      <c r="P4" s="92"/>
      <c r="Q4" s="93"/>
    </row>
    <row r="5" spans="2:17" x14ac:dyDescent="0.25">
      <c r="B5" s="1" t="s">
        <v>22</v>
      </c>
      <c r="C5" s="140">
        <v>0</v>
      </c>
      <c r="D5" s="93"/>
      <c r="F5" s="1" t="s">
        <v>27</v>
      </c>
      <c r="G5" s="1"/>
      <c r="H5" s="1">
        <v>0.63</v>
      </c>
      <c r="I5" s="36">
        <f>G5*H5</f>
        <v>0</v>
      </c>
      <c r="K5" s="35"/>
      <c r="L5" s="26"/>
      <c r="M5" s="26"/>
      <c r="N5" s="26"/>
      <c r="O5" s="26"/>
      <c r="P5" s="26"/>
      <c r="Q5" s="93"/>
    </row>
    <row r="6" spans="2:17" x14ac:dyDescent="0.25">
      <c r="B6" s="1" t="s">
        <v>81</v>
      </c>
      <c r="C6" s="102">
        <f>((448.53*0.6)*0.3)+4.05</f>
        <v>84.785399999999996</v>
      </c>
      <c r="D6" s="139"/>
      <c r="F6" s="1" t="s">
        <v>24</v>
      </c>
      <c r="G6" s="1">
        <f>308*2.34</f>
        <v>720.71999999999991</v>
      </c>
      <c r="H6" s="1">
        <v>0.4</v>
      </c>
      <c r="I6" s="102">
        <f t="shared" ref="I6" si="0">G6*H6</f>
        <v>288.28799999999995</v>
      </c>
      <c r="K6" s="35"/>
      <c r="L6" s="93"/>
      <c r="M6" s="93"/>
      <c r="N6" s="93"/>
      <c r="O6" s="93"/>
      <c r="P6" s="93"/>
      <c r="Q6" s="93"/>
    </row>
    <row r="7" spans="2:17" x14ac:dyDescent="0.25">
      <c r="B7" s="1" t="s">
        <v>108</v>
      </c>
      <c r="C7" s="102">
        <f>D10*C11</f>
        <v>4.8592500000000003</v>
      </c>
      <c r="D7" s="139"/>
      <c r="E7" s="35" t="s">
        <v>116</v>
      </c>
      <c r="F7" s="1" t="s">
        <v>28</v>
      </c>
      <c r="G7" s="1">
        <f>(15*5)*0.8</f>
        <v>60</v>
      </c>
      <c r="H7" s="1">
        <v>0.25</v>
      </c>
      <c r="I7" s="102">
        <f>G7*H7</f>
        <v>15</v>
      </c>
      <c r="K7" s="35"/>
      <c r="L7" s="93"/>
      <c r="M7" s="93"/>
      <c r="N7" s="93"/>
      <c r="O7" s="93"/>
      <c r="P7" s="93"/>
      <c r="Q7" s="93"/>
    </row>
    <row r="8" spans="2:17" x14ac:dyDescent="0.25">
      <c r="B8" s="141" t="s">
        <v>110</v>
      </c>
      <c r="C8" s="142">
        <f>SUM(C7+C4)</f>
        <v>14.264250000000001</v>
      </c>
      <c r="D8" s="49"/>
      <c r="F8" s="1" t="s">
        <v>118</v>
      </c>
      <c r="G8" s="1"/>
      <c r="H8" s="1">
        <v>0.16</v>
      </c>
      <c r="I8" s="36">
        <f>G8*H8</f>
        <v>0</v>
      </c>
      <c r="K8" s="35"/>
      <c r="L8" s="93"/>
      <c r="M8" s="93"/>
      <c r="N8" s="93"/>
      <c r="O8" s="93"/>
      <c r="P8" s="93"/>
      <c r="Q8" s="93"/>
    </row>
    <row r="9" spans="2:17" x14ac:dyDescent="0.25">
      <c r="B9" s="104" t="s">
        <v>101</v>
      </c>
      <c r="C9" s="2">
        <v>1.6500000000000001E-2</v>
      </c>
      <c r="D9" s="2">
        <f>C9/2</f>
        <v>8.2500000000000004E-3</v>
      </c>
      <c r="F9" s="2"/>
      <c r="G9" s="2"/>
      <c r="H9" s="2"/>
      <c r="I9" s="135"/>
      <c r="K9" s="35"/>
      <c r="L9" s="93"/>
      <c r="M9" s="93"/>
      <c r="N9" s="93"/>
      <c r="O9" s="93"/>
      <c r="P9" s="93"/>
      <c r="Q9" s="93"/>
    </row>
    <row r="10" spans="2:17" x14ac:dyDescent="0.25">
      <c r="B10" s="117" t="s">
        <v>109</v>
      </c>
      <c r="C10">
        <f>C9*0.19</f>
        <v>3.1350000000000002E-3</v>
      </c>
      <c r="D10">
        <f>C10/2</f>
        <v>1.5675000000000001E-3</v>
      </c>
      <c r="F10" s="2"/>
      <c r="G10" s="2"/>
      <c r="H10" s="2"/>
      <c r="I10" s="135"/>
      <c r="K10" s="35"/>
      <c r="L10" s="93"/>
      <c r="M10" s="93"/>
      <c r="N10" s="93"/>
      <c r="O10" s="93"/>
      <c r="P10" s="93"/>
      <c r="Q10" s="93"/>
    </row>
    <row r="11" spans="2:17" x14ac:dyDescent="0.25">
      <c r="B11" s="117" t="s">
        <v>107</v>
      </c>
      <c r="C11">
        <v>3100</v>
      </c>
      <c r="F11" s="2"/>
      <c r="G11" s="2"/>
      <c r="H11" s="2"/>
      <c r="I11" s="135"/>
      <c r="K11" s="35"/>
      <c r="L11" s="93"/>
      <c r="M11" s="93"/>
      <c r="N11" s="93"/>
      <c r="O11" s="93"/>
      <c r="P11" s="93"/>
      <c r="Q11" s="93"/>
    </row>
    <row r="12" spans="2:17" x14ac:dyDescent="0.25">
      <c r="B12" s="233" t="s">
        <v>115</v>
      </c>
      <c r="C12" s="233"/>
      <c r="D12" s="233"/>
      <c r="K12" s="35"/>
      <c r="L12" s="93"/>
      <c r="M12" s="93"/>
      <c r="N12" s="93"/>
      <c r="O12" s="93"/>
      <c r="P12" s="93"/>
      <c r="Q12" s="93"/>
    </row>
    <row r="13" spans="2:17" x14ac:dyDescent="0.25">
      <c r="B13" s="99" t="s">
        <v>82</v>
      </c>
      <c r="C13" s="102">
        <f>94.27+4.72</f>
        <v>98.99</v>
      </c>
      <c r="D13" s="2"/>
      <c r="F13" s="100" t="s">
        <v>84</v>
      </c>
      <c r="G13" s="98" t="s">
        <v>85</v>
      </c>
      <c r="H13" s="98" t="s">
        <v>29</v>
      </c>
      <c r="I13" s="98" t="s">
        <v>23</v>
      </c>
    </row>
    <row r="14" spans="2:17" x14ac:dyDescent="0.25">
      <c r="F14" s="1" t="s">
        <v>27</v>
      </c>
      <c r="G14" s="1">
        <f>448.53/0.25</f>
        <v>1794.12</v>
      </c>
      <c r="H14" s="1">
        <f>0.72*G14</f>
        <v>1291.7664</v>
      </c>
      <c r="I14" s="102">
        <f>0.63*H14</f>
        <v>813.81283199999996</v>
      </c>
    </row>
    <row r="15" spans="2:17" x14ac:dyDescent="0.25">
      <c r="B15" s="99" t="s">
        <v>58</v>
      </c>
      <c r="C15" s="102">
        <f>2*2</f>
        <v>4</v>
      </c>
      <c r="D15" s="92"/>
      <c r="E15" s="92"/>
      <c r="F15" s="101" t="s">
        <v>28</v>
      </c>
      <c r="G15" s="59">
        <v>3</v>
      </c>
      <c r="H15" s="59">
        <f>G15*448.53</f>
        <v>1345.59</v>
      </c>
      <c r="I15" s="102">
        <f>0.25*H15</f>
        <v>336.39749999999998</v>
      </c>
    </row>
    <row r="16" spans="2:17" x14ac:dyDescent="0.25">
      <c r="C16" s="50">
        <f>(0.39*2)*150</f>
        <v>117</v>
      </c>
      <c r="D16" s="93"/>
      <c r="E16" s="49"/>
      <c r="F16" s="93"/>
      <c r="G16" s="93"/>
      <c r="H16" s="93"/>
    </row>
    <row r="17" spans="1:8" x14ac:dyDescent="0.25">
      <c r="C17">
        <f>(0.2*2)*150</f>
        <v>60</v>
      </c>
      <c r="D17" s="93"/>
      <c r="E17" s="49"/>
      <c r="F17" s="93"/>
      <c r="G17" s="93"/>
      <c r="H17" s="93"/>
    </row>
    <row r="18" spans="1:8" x14ac:dyDescent="0.25">
      <c r="B18" s="99" t="s">
        <v>50</v>
      </c>
      <c r="C18" s="102">
        <f>((448.53*1.6)-C17)+C16</f>
        <v>774.64800000000002</v>
      </c>
      <c r="D18" s="49"/>
      <c r="E18" s="49"/>
      <c r="F18" s="49"/>
      <c r="G18" s="49"/>
      <c r="H18" s="49"/>
    </row>
    <row r="19" spans="1:8" x14ac:dyDescent="0.25">
      <c r="D19" s="49"/>
      <c r="E19" s="49"/>
      <c r="F19" s="49"/>
      <c r="G19" s="49"/>
      <c r="H19" s="49"/>
    </row>
    <row r="20" spans="1:8" x14ac:dyDescent="0.25">
      <c r="B20" s="99" t="s">
        <v>87</v>
      </c>
      <c r="C20" s="103">
        <f>(448.53-(150*0.2))*2</f>
        <v>837.06</v>
      </c>
    </row>
    <row r="21" spans="1:8" x14ac:dyDescent="0.25">
      <c r="A21" s="49"/>
      <c r="B21" s="95"/>
      <c r="C21" s="96"/>
    </row>
    <row r="22" spans="1:8" x14ac:dyDescent="0.25">
      <c r="A22" s="49"/>
      <c r="B22" s="99" t="s">
        <v>114</v>
      </c>
      <c r="C22" s="145">
        <f>448.53*0.6</f>
        <v>269.11799999999999</v>
      </c>
    </row>
    <row r="23" spans="1:8" x14ac:dyDescent="0.25">
      <c r="A23" s="49"/>
      <c r="B23" s="95"/>
      <c r="C23" s="96"/>
      <c r="E23" s="49"/>
      <c r="F23" s="49"/>
      <c r="G23" s="49"/>
    </row>
    <row r="24" spans="1:8" x14ac:dyDescent="0.25">
      <c r="A24" s="49"/>
      <c r="B24" s="99" t="s">
        <v>119</v>
      </c>
      <c r="C24" s="145">
        <f>29*2</f>
        <v>58</v>
      </c>
      <c r="E24" s="49"/>
      <c r="F24" s="49"/>
      <c r="G24" s="49"/>
    </row>
    <row r="25" spans="1:8" x14ac:dyDescent="0.25">
      <c r="A25" s="49"/>
      <c r="B25" s="95"/>
      <c r="C25" s="96"/>
      <c r="E25" s="94"/>
      <c r="F25" s="26"/>
      <c r="G25" s="49"/>
    </row>
    <row r="28" spans="1:8" x14ac:dyDescent="0.25">
      <c r="B28" t="s">
        <v>126</v>
      </c>
    </row>
  </sheetData>
  <mergeCells count="1"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0"/>
  <sheetViews>
    <sheetView topLeftCell="A16" workbookViewId="0">
      <selection activeCell="F20" sqref="F20:F22"/>
    </sheetView>
  </sheetViews>
  <sheetFormatPr defaultRowHeight="15" x14ac:dyDescent="0.25"/>
  <cols>
    <col min="3" max="3" width="17" customWidth="1"/>
    <col min="4" max="4" width="20.28515625" customWidth="1"/>
    <col min="5" max="5" width="9.28515625" customWidth="1"/>
    <col min="6" max="6" width="68.7109375" customWidth="1"/>
    <col min="7" max="7" width="7.7109375" customWidth="1"/>
    <col min="8" max="8" width="8.42578125" customWidth="1"/>
    <col min="9" max="9" width="7.28515625" customWidth="1"/>
    <col min="10" max="10" width="14.85546875" customWidth="1"/>
  </cols>
  <sheetData>
    <row r="2" spans="2:11" ht="15.75" thickBot="1" x14ac:dyDescent="0.3"/>
    <row r="3" spans="2:11" ht="92.45" customHeight="1" x14ac:dyDescent="0.25">
      <c r="C3" s="234" t="s">
        <v>120</v>
      </c>
      <c r="D3" s="235"/>
      <c r="E3" s="235"/>
      <c r="F3" s="235"/>
      <c r="G3" s="235"/>
      <c r="H3" s="235"/>
      <c r="I3" s="235"/>
      <c r="J3" s="236"/>
    </row>
    <row r="4" spans="2:11" ht="13.5" customHeight="1" thickBot="1" x14ac:dyDescent="0.3">
      <c r="C4" s="67"/>
      <c r="D4" s="68"/>
      <c r="E4" s="68"/>
      <c r="F4" s="69" t="s">
        <v>67</v>
      </c>
      <c r="G4" s="68"/>
      <c r="H4" s="70"/>
      <c r="I4" s="71"/>
      <c r="J4" s="72"/>
    </row>
    <row r="5" spans="2:11" ht="12.75" customHeight="1" x14ac:dyDescent="0.25">
      <c r="C5" s="79" t="s">
        <v>69</v>
      </c>
      <c r="D5" s="80"/>
      <c r="E5" s="80"/>
      <c r="F5" s="81" t="s">
        <v>70</v>
      </c>
      <c r="G5" s="82" t="s">
        <v>11</v>
      </c>
      <c r="H5" s="83">
        <v>1</v>
      </c>
      <c r="I5" s="84"/>
      <c r="J5" s="85">
        <f>SUM(J6:J11)</f>
        <v>298.76</v>
      </c>
    </row>
    <row r="6" spans="2:11" ht="25.5" customHeight="1" x14ac:dyDescent="0.25">
      <c r="C6" s="73">
        <v>1</v>
      </c>
      <c r="D6" s="86">
        <v>4430</v>
      </c>
      <c r="E6" s="74" t="s">
        <v>71</v>
      </c>
      <c r="F6" s="75" t="s">
        <v>73</v>
      </c>
      <c r="G6" s="76" t="s">
        <v>10</v>
      </c>
      <c r="H6" s="77">
        <v>4</v>
      </c>
      <c r="I6" s="78">
        <v>6</v>
      </c>
      <c r="J6" s="122">
        <f t="shared" ref="J6:J15" si="0">ROUND(H6*I6,2)</f>
        <v>24</v>
      </c>
    </row>
    <row r="7" spans="2:11" ht="25.5" customHeight="1" x14ac:dyDescent="0.25">
      <c r="C7" s="73">
        <v>2</v>
      </c>
      <c r="D7" s="86">
        <v>4813</v>
      </c>
      <c r="E7" s="74" t="s">
        <v>71</v>
      </c>
      <c r="F7" s="75" t="s">
        <v>74</v>
      </c>
      <c r="G7" s="76" t="s">
        <v>11</v>
      </c>
      <c r="H7" s="77">
        <v>1</v>
      </c>
      <c r="I7" s="78">
        <v>225</v>
      </c>
      <c r="J7" s="122">
        <f t="shared" si="0"/>
        <v>225</v>
      </c>
    </row>
    <row r="8" spans="2:11" ht="25.5" customHeight="1" x14ac:dyDescent="0.25">
      <c r="C8" s="73">
        <v>3</v>
      </c>
      <c r="D8" s="86">
        <v>4415</v>
      </c>
      <c r="E8" s="74" t="s">
        <v>71</v>
      </c>
      <c r="F8" s="75" t="s">
        <v>75</v>
      </c>
      <c r="G8" s="76" t="s">
        <v>10</v>
      </c>
      <c r="H8" s="77">
        <v>1</v>
      </c>
      <c r="I8" s="78">
        <v>2.2599999999999998</v>
      </c>
      <c r="J8" s="122">
        <f t="shared" si="0"/>
        <v>2.2599999999999998</v>
      </c>
    </row>
    <row r="9" spans="2:11" ht="12.75" customHeight="1" x14ac:dyDescent="0.25">
      <c r="C9" s="73">
        <v>4</v>
      </c>
      <c r="D9" s="86">
        <v>5075</v>
      </c>
      <c r="E9" s="74" t="s">
        <v>71</v>
      </c>
      <c r="F9" s="75" t="s">
        <v>76</v>
      </c>
      <c r="G9" s="76" t="s">
        <v>12</v>
      </c>
      <c r="H9" s="77">
        <v>0.15</v>
      </c>
      <c r="I9" s="78">
        <v>13.21</v>
      </c>
      <c r="J9" s="122">
        <f t="shared" si="0"/>
        <v>1.98</v>
      </c>
    </row>
    <row r="10" spans="2:11" ht="12.75" customHeight="1" x14ac:dyDescent="0.25">
      <c r="C10" s="73">
        <v>5</v>
      </c>
      <c r="D10" s="86">
        <v>88262</v>
      </c>
      <c r="E10" s="74" t="s">
        <v>68</v>
      </c>
      <c r="F10" s="75" t="s">
        <v>77</v>
      </c>
      <c r="G10" s="76" t="s">
        <v>60</v>
      </c>
      <c r="H10" s="77">
        <v>1</v>
      </c>
      <c r="I10" s="78">
        <v>17.48</v>
      </c>
      <c r="J10" s="122">
        <f t="shared" si="0"/>
        <v>17.48</v>
      </c>
    </row>
    <row r="11" spans="2:11" ht="12.75" customHeight="1" x14ac:dyDescent="0.25">
      <c r="C11" s="73">
        <v>6</v>
      </c>
      <c r="D11" s="86">
        <v>88316</v>
      </c>
      <c r="E11" s="74" t="s">
        <v>68</v>
      </c>
      <c r="F11" s="75" t="s">
        <v>78</v>
      </c>
      <c r="G11" s="76" t="s">
        <v>60</v>
      </c>
      <c r="H11" s="77">
        <v>2</v>
      </c>
      <c r="I11" s="78">
        <v>14.02</v>
      </c>
      <c r="J11" s="122">
        <f t="shared" si="0"/>
        <v>28.04</v>
      </c>
    </row>
    <row r="12" spans="2:11" ht="51" x14ac:dyDescent="0.25">
      <c r="C12" s="132" t="s">
        <v>95</v>
      </c>
      <c r="D12" s="113"/>
      <c r="E12" s="114"/>
      <c r="F12" s="133" t="s">
        <v>96</v>
      </c>
      <c r="G12" s="116" t="s">
        <v>10</v>
      </c>
      <c r="H12" s="83">
        <v>1</v>
      </c>
      <c r="I12" s="115"/>
      <c r="J12" s="85">
        <f>SUM(J13:J15)</f>
        <v>18.04</v>
      </c>
    </row>
    <row r="13" spans="2:11" ht="25.5" x14ac:dyDescent="0.25">
      <c r="B13" s="2"/>
      <c r="C13" s="73">
        <v>1</v>
      </c>
      <c r="D13" s="118" t="s">
        <v>91</v>
      </c>
      <c r="E13" s="119" t="s">
        <v>71</v>
      </c>
      <c r="F13" s="120" t="s">
        <v>92</v>
      </c>
      <c r="G13" s="121" t="s">
        <v>93</v>
      </c>
      <c r="H13" s="124">
        <v>0.4</v>
      </c>
      <c r="I13" s="125">
        <v>26.18</v>
      </c>
      <c r="J13" s="122">
        <f t="shared" si="0"/>
        <v>10.47</v>
      </c>
      <c r="K13" s="2"/>
    </row>
    <row r="14" spans="2:11" ht="25.5" x14ac:dyDescent="0.25">
      <c r="B14" s="2"/>
      <c r="C14" s="73">
        <v>2</v>
      </c>
      <c r="D14" s="52">
        <v>3408</v>
      </c>
      <c r="E14" s="52" t="s">
        <v>71</v>
      </c>
      <c r="F14" s="123" t="s">
        <v>90</v>
      </c>
      <c r="G14" s="126" t="s">
        <v>11</v>
      </c>
      <c r="H14" s="127">
        <v>0.15</v>
      </c>
      <c r="I14" s="127">
        <v>9.25</v>
      </c>
      <c r="J14" s="122">
        <f t="shared" si="0"/>
        <v>1.39</v>
      </c>
      <c r="K14" s="2"/>
    </row>
    <row r="15" spans="2:11" x14ac:dyDescent="0.25">
      <c r="B15" s="2"/>
      <c r="C15" s="73">
        <v>3</v>
      </c>
      <c r="D15" s="118" t="s">
        <v>94</v>
      </c>
      <c r="E15" s="74" t="s">
        <v>68</v>
      </c>
      <c r="F15" s="129" t="s">
        <v>59</v>
      </c>
      <c r="G15" s="121" t="s">
        <v>60</v>
      </c>
      <c r="H15" s="131">
        <v>0.35</v>
      </c>
      <c r="I15" s="128">
        <v>17.670000000000002</v>
      </c>
      <c r="J15" s="122">
        <f t="shared" si="0"/>
        <v>6.18</v>
      </c>
      <c r="K15" s="130"/>
    </row>
    <row r="16" spans="2:11" x14ac:dyDescent="0.25">
      <c r="C16" s="26"/>
      <c r="D16" s="26"/>
      <c r="E16" s="26"/>
      <c r="F16" s="111"/>
      <c r="G16" s="26"/>
      <c r="H16" s="112"/>
      <c r="I16" s="28"/>
      <c r="J16" s="26"/>
    </row>
    <row r="17" spans="3:11" x14ac:dyDescent="0.25">
      <c r="C17" s="90" t="s">
        <v>121</v>
      </c>
      <c r="D17" s="25"/>
      <c r="E17" s="25"/>
      <c r="G17" s="25"/>
      <c r="H17" s="88"/>
      <c r="I17" s="89"/>
      <c r="J17" s="25"/>
    </row>
    <row r="18" spans="3:11" x14ac:dyDescent="0.25">
      <c r="C18" s="25"/>
      <c r="D18" s="25"/>
      <c r="E18" s="25"/>
      <c r="F18" s="87"/>
      <c r="G18" s="25"/>
      <c r="H18" s="88"/>
      <c r="I18" s="89"/>
      <c r="J18" s="25"/>
    </row>
    <row r="19" spans="3:11" x14ac:dyDescent="0.25">
      <c r="C19" s="25"/>
      <c r="D19" s="25"/>
      <c r="E19" s="25"/>
      <c r="F19" s="87"/>
      <c r="G19" s="25"/>
      <c r="H19" s="88"/>
      <c r="I19" s="89"/>
      <c r="J19" s="25"/>
    </row>
    <row r="20" spans="3:11" x14ac:dyDescent="0.25">
      <c r="C20" s="25"/>
      <c r="D20" s="25"/>
      <c r="E20" s="25"/>
      <c r="F20" s="91" t="s">
        <v>88</v>
      </c>
      <c r="G20" s="25"/>
      <c r="H20" s="88"/>
      <c r="I20" s="89"/>
      <c r="J20" s="25"/>
    </row>
    <row r="21" spans="3:11" x14ac:dyDescent="0.25">
      <c r="C21" s="25"/>
      <c r="D21" s="25"/>
      <c r="E21" s="25"/>
      <c r="F21" s="91" t="s">
        <v>72</v>
      </c>
      <c r="G21" s="25"/>
      <c r="H21" s="88"/>
      <c r="I21" s="89"/>
      <c r="J21" s="25"/>
    </row>
    <row r="22" spans="3:11" x14ac:dyDescent="0.25">
      <c r="C22" s="25"/>
      <c r="D22" s="25"/>
      <c r="E22" s="25"/>
      <c r="F22" s="91" t="s">
        <v>89</v>
      </c>
      <c r="G22" s="25"/>
      <c r="H22" s="88"/>
      <c r="I22" s="89"/>
      <c r="J22" s="25"/>
    </row>
    <row r="23" spans="3:11" x14ac:dyDescent="0.25">
      <c r="C23" s="25"/>
      <c r="D23" s="25"/>
      <c r="E23" s="25"/>
      <c r="F23" s="87"/>
      <c r="G23" s="25"/>
      <c r="H23" s="88"/>
      <c r="I23" s="89"/>
      <c r="J23" s="25"/>
    </row>
    <row r="24" spans="3:11" x14ac:dyDescent="0.25">
      <c r="C24" s="25"/>
      <c r="D24" s="25"/>
      <c r="E24" s="25"/>
      <c r="F24" s="87"/>
      <c r="G24" s="25"/>
      <c r="H24" s="88"/>
      <c r="I24" s="89"/>
      <c r="J24" s="25"/>
    </row>
    <row r="25" spans="3:11" x14ac:dyDescent="0.25">
      <c r="C25" s="49"/>
      <c r="D25" s="26"/>
      <c r="E25" s="26"/>
      <c r="F25" s="105"/>
      <c r="G25" s="26"/>
      <c r="H25" s="28"/>
      <c r="I25" s="49"/>
      <c r="J25" s="106"/>
      <c r="K25" s="49"/>
    </row>
    <row r="26" spans="3:11" x14ac:dyDescent="0.25">
      <c r="C26" s="26"/>
      <c r="D26" s="26"/>
      <c r="E26" s="49"/>
      <c r="F26" s="107"/>
      <c r="G26" s="110"/>
      <c r="H26" s="110"/>
      <c r="I26" s="109"/>
      <c r="J26" s="49"/>
      <c r="K26" s="2"/>
    </row>
    <row r="27" spans="3:11" x14ac:dyDescent="0.25">
      <c r="C27" s="49"/>
      <c r="D27" s="49"/>
      <c r="E27" s="49"/>
      <c r="F27" s="107"/>
      <c r="G27" s="108"/>
      <c r="H27" s="108"/>
      <c r="I27" s="109"/>
      <c r="J27" s="49"/>
      <c r="K27" s="2"/>
    </row>
    <row r="28" spans="3:11" x14ac:dyDescent="0.25">
      <c r="C28" s="49"/>
      <c r="D28" s="49"/>
      <c r="E28" s="49"/>
      <c r="F28" s="107"/>
      <c r="G28" s="108"/>
      <c r="H28" s="108"/>
      <c r="I28" s="109"/>
      <c r="J28" s="49"/>
      <c r="K28" s="2"/>
    </row>
    <row r="29" spans="3:11" x14ac:dyDescent="0.25">
      <c r="C29" s="49"/>
      <c r="D29" s="49"/>
      <c r="E29" s="49"/>
      <c r="F29" s="107"/>
      <c r="G29" s="108"/>
      <c r="H29" s="108"/>
      <c r="I29" s="109"/>
      <c r="J29" s="49"/>
    </row>
    <row r="30" spans="3:11" x14ac:dyDescent="0.25">
      <c r="C30" s="49"/>
      <c r="D30" s="49"/>
      <c r="E30" s="49"/>
      <c r="F30" s="107"/>
      <c r="G30" s="108"/>
      <c r="H30" s="108"/>
      <c r="I30" s="109"/>
      <c r="J30" s="49"/>
    </row>
  </sheetData>
  <mergeCells count="1">
    <mergeCell ref="C3:J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5"/>
  <sheetViews>
    <sheetView view="pageBreakPreview" topLeftCell="A13" zoomScale="60" zoomScaleNormal="100" workbookViewId="0">
      <selection activeCell="M25" sqref="M25"/>
    </sheetView>
  </sheetViews>
  <sheetFormatPr defaultRowHeight="15" x14ac:dyDescent="0.25"/>
  <cols>
    <col min="2" max="2" width="35.7109375" customWidth="1"/>
    <col min="3" max="3" width="14.5703125" customWidth="1"/>
    <col min="4" max="4" width="12.42578125" customWidth="1"/>
  </cols>
  <sheetData>
    <row r="2" spans="2:4" x14ac:dyDescent="0.25">
      <c r="B2" s="244" t="s">
        <v>31</v>
      </c>
      <c r="C2" s="245"/>
      <c r="D2" s="246"/>
    </row>
    <row r="3" spans="2:4" x14ac:dyDescent="0.25">
      <c r="B3" s="247" t="s">
        <v>122</v>
      </c>
      <c r="C3" s="248"/>
      <c r="D3" s="249"/>
    </row>
    <row r="4" spans="2:4" x14ac:dyDescent="0.25">
      <c r="B4" s="250" t="s">
        <v>32</v>
      </c>
      <c r="C4" s="251"/>
      <c r="D4" s="37" t="s">
        <v>33</v>
      </c>
    </row>
    <row r="5" spans="2:4" x14ac:dyDescent="0.25">
      <c r="B5" s="252" t="s">
        <v>34</v>
      </c>
      <c r="C5" s="253"/>
      <c r="D5" s="38">
        <v>0.04</v>
      </c>
    </row>
    <row r="6" spans="2:4" x14ac:dyDescent="0.25">
      <c r="B6" s="241" t="s">
        <v>35</v>
      </c>
      <c r="C6" s="241"/>
      <c r="D6" s="43">
        <v>1.23E-2</v>
      </c>
    </row>
    <row r="7" spans="2:4" x14ac:dyDescent="0.25">
      <c r="B7" s="241" t="s">
        <v>36</v>
      </c>
      <c r="C7" s="241"/>
      <c r="D7" s="43">
        <v>1.2699999999999999E-2</v>
      </c>
    </row>
    <row r="8" spans="2:4" x14ac:dyDescent="0.25">
      <c r="B8" s="241" t="s">
        <v>37</v>
      </c>
      <c r="C8" s="241"/>
      <c r="D8" s="43">
        <v>8.0000000000000002E-3</v>
      </c>
    </row>
    <row r="9" spans="2:4" x14ac:dyDescent="0.25">
      <c r="B9" s="241" t="s">
        <v>38</v>
      </c>
      <c r="C9" s="241"/>
      <c r="D9" s="43">
        <v>0</v>
      </c>
    </row>
    <row r="10" spans="2:4" x14ac:dyDescent="0.25">
      <c r="B10" s="237" t="s">
        <v>39</v>
      </c>
      <c r="C10" s="237"/>
      <c r="D10" s="44">
        <f>SUM(D5:D9)</f>
        <v>7.3000000000000009E-2</v>
      </c>
    </row>
    <row r="11" spans="2:4" x14ac:dyDescent="0.25">
      <c r="B11" s="243" t="s">
        <v>40</v>
      </c>
      <c r="C11" s="243"/>
      <c r="D11" s="45" t="s">
        <v>33</v>
      </c>
    </row>
    <row r="12" spans="2:4" x14ac:dyDescent="0.25">
      <c r="B12" s="241" t="s">
        <v>41</v>
      </c>
      <c r="C12" s="241"/>
      <c r="D12" s="43">
        <v>7.3999999999999996E-2</v>
      </c>
    </row>
    <row r="13" spans="2:4" x14ac:dyDescent="0.25">
      <c r="B13" s="237" t="s">
        <v>39</v>
      </c>
      <c r="C13" s="237"/>
      <c r="D13" s="44">
        <f>SUM(D12)</f>
        <v>7.3999999999999996E-2</v>
      </c>
    </row>
    <row r="14" spans="2:4" x14ac:dyDescent="0.25">
      <c r="B14" s="242"/>
      <c r="C14" s="242"/>
      <c r="D14" s="46"/>
    </row>
    <row r="15" spans="2:4" x14ac:dyDescent="0.25">
      <c r="B15" s="243" t="s">
        <v>42</v>
      </c>
      <c r="C15" s="243"/>
      <c r="D15" s="45" t="s">
        <v>33</v>
      </c>
    </row>
    <row r="16" spans="2:4" x14ac:dyDescent="0.25">
      <c r="B16" s="241" t="s">
        <v>43</v>
      </c>
      <c r="C16" s="241"/>
      <c r="D16" s="43">
        <v>6.4999999999999997E-3</v>
      </c>
    </row>
    <row r="17" spans="2:4" x14ac:dyDescent="0.25">
      <c r="B17" s="241" t="s">
        <v>44</v>
      </c>
      <c r="C17" s="241"/>
      <c r="D17" s="43">
        <v>0.03</v>
      </c>
    </row>
    <row r="18" spans="2:4" x14ac:dyDescent="0.25">
      <c r="B18" s="241" t="s">
        <v>45</v>
      </c>
      <c r="C18" s="241"/>
      <c r="D18" s="43">
        <v>1.4999999999999999E-2</v>
      </c>
    </row>
    <row r="19" spans="2:4" x14ac:dyDescent="0.25">
      <c r="B19" s="241" t="s">
        <v>46</v>
      </c>
      <c r="C19" s="241"/>
      <c r="D19" s="43">
        <v>4.4999999999999998E-2</v>
      </c>
    </row>
    <row r="20" spans="2:4" x14ac:dyDescent="0.25">
      <c r="B20" s="237" t="s">
        <v>39</v>
      </c>
      <c r="C20" s="237"/>
      <c r="D20" s="44">
        <f>SUM(D16:D19)</f>
        <v>9.6500000000000002E-2</v>
      </c>
    </row>
    <row r="21" spans="2:4" x14ac:dyDescent="0.25">
      <c r="B21" s="238"/>
      <c r="C21" s="239"/>
      <c r="D21" s="240"/>
    </row>
    <row r="22" spans="2:4" x14ac:dyDescent="0.25">
      <c r="B22" s="241"/>
      <c r="C22" s="241"/>
      <c r="D22" s="39"/>
    </row>
    <row r="23" spans="2:4" x14ac:dyDescent="0.25">
      <c r="B23" s="237" t="s">
        <v>47</v>
      </c>
      <c r="C23" s="237"/>
      <c r="D23" s="40">
        <f>TRUNC((1+D5+D8+D7+D9)*(1+D6)*(1+D12)/(1-D20)-1,4)</f>
        <v>0.27629999999999999</v>
      </c>
    </row>
    <row r="24" spans="2:4" x14ac:dyDescent="0.25">
      <c r="B24" s="41"/>
      <c r="C24" s="41"/>
      <c r="D24" s="41"/>
    </row>
    <row r="25" spans="2:4" x14ac:dyDescent="0.25">
      <c r="B25" s="42" t="s">
        <v>137</v>
      </c>
      <c r="C25" s="41"/>
      <c r="D25" s="41"/>
    </row>
  </sheetData>
  <mergeCells count="22">
    <mergeCell ref="B13:C13"/>
    <mergeCell ref="B2:D2"/>
    <mergeCell ref="B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0:C20"/>
    <mergeCell ref="B21:D21"/>
    <mergeCell ref="B22:C22"/>
    <mergeCell ref="B23:C23"/>
    <mergeCell ref="B14:C14"/>
    <mergeCell ref="B15:C15"/>
    <mergeCell ref="B16:C16"/>
    <mergeCell ref="B17:C17"/>
    <mergeCell ref="B18:C18"/>
    <mergeCell ref="B19:C19"/>
  </mergeCells>
  <printOptions horizontalCentered="1"/>
  <pageMargins left="0.19685039370078741" right="0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tabSelected="1" workbookViewId="0">
      <selection activeCell="C24" sqref="C24:D24"/>
    </sheetView>
  </sheetViews>
  <sheetFormatPr defaultColWidth="11.42578125" defaultRowHeight="12.75" x14ac:dyDescent="0.2"/>
  <cols>
    <col min="1" max="1" width="0.7109375" style="177" customWidth="1"/>
    <col min="2" max="2" width="8.28515625" style="177" customWidth="1"/>
    <col min="3" max="3" width="48.5703125" style="177" customWidth="1"/>
    <col min="4" max="4" width="8" style="177" customWidth="1"/>
    <col min="5" max="5" width="14" style="177" customWidth="1"/>
    <col min="6" max="6" width="11" style="177" customWidth="1"/>
    <col min="7" max="7" width="10.28515625" style="177" customWidth="1"/>
    <col min="8" max="8" width="0.7109375" style="177" customWidth="1"/>
    <col min="9" max="16384" width="11.42578125" style="177"/>
  </cols>
  <sheetData>
    <row r="1" spans="1:15" ht="3.75" customHeight="1" thickBot="1" x14ac:dyDescent="0.25">
      <c r="A1" s="174"/>
      <c r="B1" s="175"/>
      <c r="C1" s="175"/>
      <c r="D1" s="175"/>
      <c r="E1" s="175"/>
      <c r="F1" s="175"/>
      <c r="G1" s="175"/>
      <c r="H1" s="176"/>
    </row>
    <row r="2" spans="1:15" x14ac:dyDescent="0.2">
      <c r="A2" s="178"/>
      <c r="B2" s="271" t="s">
        <v>127</v>
      </c>
      <c r="C2" s="272"/>
      <c r="D2" s="272"/>
      <c r="E2" s="272"/>
      <c r="F2" s="272"/>
      <c r="G2" s="272"/>
      <c r="H2" s="176"/>
    </row>
    <row r="3" spans="1:15" x14ac:dyDescent="0.2">
      <c r="A3" s="178"/>
      <c r="B3" s="273"/>
      <c r="C3" s="274"/>
      <c r="D3" s="274"/>
      <c r="E3" s="274"/>
      <c r="F3" s="274"/>
      <c r="G3" s="274"/>
      <c r="H3" s="179"/>
    </row>
    <row r="4" spans="1:15" ht="23.45" customHeight="1" x14ac:dyDescent="0.2">
      <c r="A4" s="178"/>
      <c r="B4" s="275"/>
      <c r="C4" s="276"/>
      <c r="D4" s="276"/>
      <c r="E4" s="276"/>
      <c r="F4" s="276"/>
      <c r="G4" s="276"/>
      <c r="H4" s="179"/>
    </row>
    <row r="5" spans="1:15" ht="41.25" customHeight="1" x14ac:dyDescent="0.2">
      <c r="A5" s="178"/>
      <c r="B5" s="277" t="str">
        <f>ORÇAMENTO!D12</f>
        <v>Execução de Obras de  Construção do Muro no Cemitério Municipal                                                                                                                                                                                                                                 Coordenadas geograficas da Obra: Latitude: 14°46'47.6"S  Longitude:53°37'28.7"W</v>
      </c>
      <c r="C5" s="278"/>
      <c r="D5" s="278"/>
      <c r="E5" s="278"/>
      <c r="F5" s="278"/>
      <c r="G5" s="278"/>
      <c r="H5" s="179"/>
    </row>
    <row r="6" spans="1:15" ht="27" customHeight="1" x14ac:dyDescent="0.25">
      <c r="A6" s="178"/>
      <c r="B6" s="277" t="str">
        <f>[1]ORÇAMENTO!C7</f>
        <v xml:space="preserve">                                  Município: Santo Antonio do Leste - MT</v>
      </c>
      <c r="C6" s="278"/>
      <c r="D6" s="278"/>
      <c r="E6" s="278"/>
      <c r="F6" s="278"/>
      <c r="G6" s="278"/>
      <c r="H6" s="179"/>
      <c r="J6"/>
      <c r="K6"/>
      <c r="L6"/>
      <c r="M6"/>
      <c r="N6"/>
      <c r="O6"/>
    </row>
    <row r="7" spans="1:15" ht="17.100000000000001" customHeight="1" thickBot="1" x14ac:dyDescent="0.3">
      <c r="A7" s="178"/>
      <c r="B7" s="279">
        <v>44356</v>
      </c>
      <c r="C7" s="280"/>
      <c r="D7" s="180"/>
      <c r="E7" s="180"/>
      <c r="F7" s="281" t="s">
        <v>128</v>
      </c>
      <c r="G7" s="281"/>
      <c r="H7" s="282"/>
      <c r="J7"/>
      <c r="K7"/>
      <c r="L7"/>
      <c r="M7"/>
      <c r="N7"/>
      <c r="O7"/>
    </row>
    <row r="8" spans="1:15" ht="17.100000000000001" customHeight="1" x14ac:dyDescent="0.25">
      <c r="A8" s="178"/>
      <c r="B8" s="181"/>
      <c r="C8" s="182"/>
      <c r="D8" s="182"/>
      <c r="E8" s="182"/>
      <c r="F8" s="182"/>
      <c r="G8" s="182"/>
      <c r="H8" s="179"/>
      <c r="J8"/>
      <c r="K8"/>
      <c r="L8"/>
      <c r="M8"/>
      <c r="N8"/>
      <c r="O8"/>
    </row>
    <row r="9" spans="1:15" x14ac:dyDescent="0.2">
      <c r="A9" s="178"/>
      <c r="B9" s="283" t="s">
        <v>129</v>
      </c>
      <c r="C9" s="283" t="s">
        <v>130</v>
      </c>
      <c r="D9" s="283" t="s">
        <v>33</v>
      </c>
      <c r="E9" s="183" t="s">
        <v>131</v>
      </c>
      <c r="F9" s="283" t="s">
        <v>132</v>
      </c>
      <c r="G9" s="285" t="s">
        <v>133</v>
      </c>
      <c r="H9" s="179"/>
    </row>
    <row r="10" spans="1:15" x14ac:dyDescent="0.2">
      <c r="A10" s="178"/>
      <c r="B10" s="284"/>
      <c r="C10" s="284"/>
      <c r="D10" s="284"/>
      <c r="E10" s="183" t="s">
        <v>134</v>
      </c>
      <c r="F10" s="284"/>
      <c r="G10" s="283"/>
      <c r="H10" s="179"/>
    </row>
    <row r="11" spans="1:15" x14ac:dyDescent="0.2">
      <c r="A11" s="178"/>
      <c r="B11" s="261" t="s">
        <v>14</v>
      </c>
      <c r="C11" s="264" t="s">
        <v>7</v>
      </c>
      <c r="D11" s="267">
        <f>E11/$E$22</f>
        <v>2.1472150128981394E-2</v>
      </c>
      <c r="E11" s="268">
        <f>ORÇAMENTO!J18</f>
        <v>4150.05</v>
      </c>
      <c r="F11" s="184"/>
      <c r="G11" s="185"/>
      <c r="H11" s="179"/>
    </row>
    <row r="12" spans="1:15" x14ac:dyDescent="0.2">
      <c r="A12" s="178"/>
      <c r="B12" s="262"/>
      <c r="C12" s="265"/>
      <c r="D12" s="267"/>
      <c r="E12" s="269"/>
      <c r="F12" s="186">
        <v>1</v>
      </c>
      <c r="G12" s="187"/>
      <c r="H12" s="179"/>
      <c r="I12" s="188"/>
    </row>
    <row r="13" spans="1:15" x14ac:dyDescent="0.2">
      <c r="A13" s="178"/>
      <c r="B13" s="263"/>
      <c r="C13" s="266"/>
      <c r="D13" s="267"/>
      <c r="E13" s="270"/>
      <c r="F13" s="189">
        <f>(F12*$E11)</f>
        <v>4150.05</v>
      </c>
      <c r="G13" s="190"/>
      <c r="H13" s="179"/>
      <c r="I13" s="188"/>
    </row>
    <row r="14" spans="1:15" x14ac:dyDescent="0.2">
      <c r="A14" s="178"/>
      <c r="B14" s="261" t="s">
        <v>25</v>
      </c>
      <c r="C14" s="264" t="s">
        <v>19</v>
      </c>
      <c r="D14" s="267">
        <f>E14/$E$22</f>
        <v>0.53151809790706495</v>
      </c>
      <c r="E14" s="268">
        <f>ORÇAMENTO!J21</f>
        <v>102729.66</v>
      </c>
      <c r="F14" s="191"/>
      <c r="G14" s="191"/>
      <c r="H14" s="286"/>
      <c r="I14" s="188"/>
    </row>
    <row r="15" spans="1:15" x14ac:dyDescent="0.2">
      <c r="A15" s="178"/>
      <c r="B15" s="262"/>
      <c r="C15" s="265"/>
      <c r="D15" s="267"/>
      <c r="E15" s="269"/>
      <c r="F15" s="186">
        <v>0.5</v>
      </c>
      <c r="G15" s="193">
        <v>0.5</v>
      </c>
      <c r="H15" s="179"/>
      <c r="I15" s="188"/>
    </row>
    <row r="16" spans="1:15" x14ac:dyDescent="0.2">
      <c r="A16" s="178"/>
      <c r="B16" s="263"/>
      <c r="C16" s="266"/>
      <c r="D16" s="267"/>
      <c r="E16" s="270"/>
      <c r="F16" s="189">
        <f>F15*$E14</f>
        <v>51364.83</v>
      </c>
      <c r="G16" s="190">
        <f>G15*$E14</f>
        <v>51364.83</v>
      </c>
      <c r="H16" s="179"/>
      <c r="I16" s="188"/>
    </row>
    <row r="17" spans="1:10" x14ac:dyDescent="0.2">
      <c r="A17" s="178"/>
      <c r="B17" s="261" t="s">
        <v>64</v>
      </c>
      <c r="C17" s="264" t="s">
        <v>20</v>
      </c>
      <c r="D17" s="267">
        <f>E17/$E$22</f>
        <v>0.44700975196395376</v>
      </c>
      <c r="E17" s="268">
        <f>ORÇAMENTO!J32</f>
        <v>86396.23000000001</v>
      </c>
      <c r="F17" s="191"/>
      <c r="G17" s="192"/>
      <c r="H17" s="179"/>
      <c r="I17" s="188"/>
    </row>
    <row r="18" spans="1:10" x14ac:dyDescent="0.2">
      <c r="A18" s="178"/>
      <c r="B18" s="262"/>
      <c r="C18" s="265"/>
      <c r="D18" s="267"/>
      <c r="E18" s="269"/>
      <c r="F18" s="186">
        <v>0.5</v>
      </c>
      <c r="G18" s="193">
        <v>0.5</v>
      </c>
      <c r="H18" s="179"/>
      <c r="I18" s="188"/>
    </row>
    <row r="19" spans="1:10" x14ac:dyDescent="0.2">
      <c r="A19" s="178"/>
      <c r="B19" s="263"/>
      <c r="C19" s="266"/>
      <c r="D19" s="267"/>
      <c r="E19" s="270"/>
      <c r="F19" s="189">
        <f>F18*$E17</f>
        <v>43198.115000000005</v>
      </c>
      <c r="G19" s="190">
        <f>G18*$E17</f>
        <v>43198.115000000005</v>
      </c>
      <c r="H19" s="179"/>
      <c r="I19" s="188"/>
    </row>
    <row r="20" spans="1:10" x14ac:dyDescent="0.2">
      <c r="A20" s="178"/>
      <c r="B20" s="257" t="s">
        <v>135</v>
      </c>
      <c r="C20" s="258"/>
      <c r="D20" s="194"/>
      <c r="E20" s="194"/>
      <c r="F20" s="190">
        <f>SUM(F13,F16,F19)</f>
        <v>98712.99500000001</v>
      </c>
      <c r="G20" s="190">
        <f>SUM(G13,G16,G19)</f>
        <v>94562.945000000007</v>
      </c>
      <c r="H20" s="179"/>
    </row>
    <row r="21" spans="1:10" x14ac:dyDescent="0.2">
      <c r="A21" s="178"/>
      <c r="B21" s="195"/>
      <c r="C21" s="196"/>
      <c r="D21" s="194"/>
      <c r="E21" s="194"/>
      <c r="F21" s="197">
        <f>F20/$E$22</f>
        <v>0.5107360750644907</v>
      </c>
      <c r="G21" s="198">
        <f>G20/$E$22</f>
        <v>0.48926392493550935</v>
      </c>
      <c r="H21" s="179"/>
    </row>
    <row r="22" spans="1:10" x14ac:dyDescent="0.2">
      <c r="A22" s="178"/>
      <c r="B22" s="259" t="s">
        <v>136</v>
      </c>
      <c r="C22" s="260"/>
      <c r="D22" s="199">
        <f>SUM(D11:D20)</f>
        <v>1</v>
      </c>
      <c r="E22" s="200">
        <f>SUM(E11:E19)</f>
        <v>193275.94</v>
      </c>
      <c r="F22" s="201">
        <f>F20</f>
        <v>98712.99500000001</v>
      </c>
      <c r="G22" s="201">
        <f>F22+G20</f>
        <v>193275.94</v>
      </c>
      <c r="H22" s="179"/>
      <c r="J22" s="202"/>
    </row>
    <row r="23" spans="1:10" x14ac:dyDescent="0.2">
      <c r="A23" s="178"/>
      <c r="B23" s="203"/>
      <c r="C23" s="203"/>
      <c r="D23" s="203"/>
      <c r="E23" s="203"/>
      <c r="F23" s="203"/>
      <c r="G23" s="203"/>
      <c r="H23" s="179"/>
    </row>
    <row r="24" spans="1:10" ht="15" x14ac:dyDescent="0.2">
      <c r="A24" s="178"/>
      <c r="B24" s="203"/>
      <c r="C24" s="232" t="s">
        <v>138</v>
      </c>
      <c r="D24" s="232"/>
      <c r="E24" s="203"/>
      <c r="F24" s="203"/>
      <c r="G24" s="203"/>
      <c r="H24" s="179"/>
    </row>
    <row r="25" spans="1:10" ht="15" x14ac:dyDescent="0.25">
      <c r="A25" s="178"/>
      <c r="B25" s="203"/>
      <c r="C25" s="25"/>
      <c r="D25"/>
      <c r="E25" s="203"/>
      <c r="F25" s="203"/>
      <c r="G25" s="203"/>
      <c r="H25" s="179"/>
    </row>
    <row r="26" spans="1:10" ht="15" x14ac:dyDescent="0.25">
      <c r="A26" s="178"/>
      <c r="B26" s="203"/>
      <c r="C26" s="22"/>
      <c r="D26" s="2"/>
      <c r="E26" s="203"/>
      <c r="F26" s="203"/>
      <c r="G26" s="203"/>
      <c r="H26" s="179"/>
    </row>
    <row r="27" spans="1:10" ht="15" x14ac:dyDescent="0.2">
      <c r="A27" s="178"/>
      <c r="B27" s="210"/>
      <c r="C27" s="22"/>
      <c r="D27" s="91" t="s">
        <v>88</v>
      </c>
      <c r="E27" s="204"/>
      <c r="F27" s="203"/>
      <c r="G27" s="203"/>
      <c r="H27" s="179"/>
    </row>
    <row r="28" spans="1:10" ht="15" x14ac:dyDescent="0.2">
      <c r="A28" s="178"/>
      <c r="B28" s="210"/>
      <c r="C28" s="22"/>
      <c r="D28" s="91" t="s">
        <v>72</v>
      </c>
      <c r="E28" s="203"/>
      <c r="F28" s="205"/>
      <c r="G28" s="205"/>
      <c r="H28" s="179"/>
    </row>
    <row r="29" spans="1:10" ht="15" x14ac:dyDescent="0.2">
      <c r="A29" s="178"/>
      <c r="B29" s="206"/>
      <c r="C29" s="22"/>
      <c r="D29" s="91" t="s">
        <v>89</v>
      </c>
      <c r="E29" s="206"/>
      <c r="F29" s="206"/>
      <c r="G29" s="206"/>
      <c r="H29" s="179"/>
    </row>
    <row r="30" spans="1:10" ht="13.5" thickBot="1" x14ac:dyDescent="0.25">
      <c r="A30" s="207"/>
      <c r="B30" s="208"/>
      <c r="C30" s="208"/>
      <c r="D30" s="208"/>
      <c r="E30" s="254"/>
      <c r="F30" s="254"/>
      <c r="G30" s="254"/>
      <c r="H30" s="209"/>
    </row>
    <row r="31" spans="1:10" x14ac:dyDescent="0.2">
      <c r="D31" s="206"/>
      <c r="E31" s="255"/>
      <c r="F31" s="255"/>
      <c r="G31" s="255"/>
    </row>
    <row r="32" spans="1:10" x14ac:dyDescent="0.2">
      <c r="E32" s="256"/>
      <c r="F32" s="256"/>
      <c r="G32" s="256"/>
    </row>
  </sheetData>
  <mergeCells count="29">
    <mergeCell ref="B11:B13"/>
    <mergeCell ref="C11:C13"/>
    <mergeCell ref="D11:D13"/>
    <mergeCell ref="E11:E13"/>
    <mergeCell ref="B2:G3"/>
    <mergeCell ref="B4:G4"/>
    <mergeCell ref="B5:G5"/>
    <mergeCell ref="B6:G6"/>
    <mergeCell ref="B7:C7"/>
    <mergeCell ref="F7:H7"/>
    <mergeCell ref="B9:B10"/>
    <mergeCell ref="C9:C10"/>
    <mergeCell ref="D9:D10"/>
    <mergeCell ref="F9:F10"/>
    <mergeCell ref="G9:G10"/>
    <mergeCell ref="B14:B16"/>
    <mergeCell ref="C14:C16"/>
    <mergeCell ref="D14:D16"/>
    <mergeCell ref="E14:E16"/>
    <mergeCell ref="B17:B19"/>
    <mergeCell ref="C17:C19"/>
    <mergeCell ref="D17:D19"/>
    <mergeCell ref="E17:E19"/>
    <mergeCell ref="E30:G30"/>
    <mergeCell ref="E31:G31"/>
    <mergeCell ref="E32:G32"/>
    <mergeCell ref="C24:D24"/>
    <mergeCell ref="B20:C20"/>
    <mergeCell ref="B22:C2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QUANTITATIVO</vt:lpstr>
      <vt:lpstr>COMPO. PROPRIA</vt:lpstr>
      <vt:lpstr>BDI</vt:lpstr>
      <vt:lpstr>Cronograma</vt:lpstr>
      <vt:lpstr>BDI!Area_de_impressao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2021-06-09T13:18:10Z</cp:lastPrinted>
  <dcterms:created xsi:type="dcterms:W3CDTF">2020-09-30T14:11:35Z</dcterms:created>
  <dcterms:modified xsi:type="dcterms:W3CDTF">2021-06-09T13:18:35Z</dcterms:modified>
</cp:coreProperties>
</file>