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esktop\Projetos em andamento\Deslocamento de rede AV Brasil\"/>
    </mc:Choice>
  </mc:AlternateContent>
  <xr:revisionPtr revIDLastSave="0" documentId="13_ncr:1_{E7E9A26B-2188-40C0-951E-A2270DD8D41C}" xr6:coauthVersionLast="45" xr6:coauthVersionMax="45" xr10:uidLastSave="{00000000-0000-0000-0000-000000000000}"/>
  <bookViews>
    <workbookView xWindow="-120" yWindow="-120" windowWidth="20730" windowHeight="11160" tabRatio="601" xr2:uid="{00000000-000D-0000-FFFF-FFFF00000000}"/>
  </bookViews>
  <sheets>
    <sheet name="Orçamento" sheetId="19" r:id="rId1"/>
    <sheet name="RESUMO" sheetId="22" r:id="rId2"/>
    <sheet name="CRON" sheetId="21" r:id="rId3"/>
    <sheet name="ENCARGOS" sheetId="28" r:id="rId4"/>
    <sheet name="BDI" sheetId="29" r:id="rId5"/>
    <sheet name="Memória de Cálculo" sheetId="26" state="hidden" r:id="rId6"/>
  </sheets>
  <definedNames>
    <definedName name="_xlnm.Print_Area" localSheetId="2">CRON!$A$1:$J$22</definedName>
    <definedName name="_xlnm.Print_Area" localSheetId="0">Orçamento!$B$2:$L$84</definedName>
    <definedName name="_xlnm.Print_Area" localSheetId="1">RESUMO!$A$3:$F$15</definedName>
    <definedName name="_xlnm.Print_Titles" localSheetId="2">CRON!$1:$6</definedName>
    <definedName name="_xlnm.Print_Titles" localSheetId="0">Orçamento!$B:$I,Orçamento!$2:$14</definedName>
    <definedName name="_xlnm.Print_Titles" localSheetId="1">RESUMO!$2:$6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21" l="1"/>
  <c r="F16" i="21"/>
  <c r="G15" i="21"/>
  <c r="G12" i="21"/>
  <c r="L17" i="19"/>
  <c r="L18" i="19"/>
  <c r="L19" i="19"/>
  <c r="L20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I83" i="19"/>
  <c r="H81" i="19"/>
  <c r="I81" i="19" s="1"/>
  <c r="H80" i="19"/>
  <c r="I80" i="19" s="1"/>
  <c r="H79" i="19"/>
  <c r="I79" i="19" s="1"/>
  <c r="H78" i="19"/>
  <c r="I78" i="19" s="1"/>
  <c r="H77" i="19"/>
  <c r="I77" i="19" s="1"/>
  <c r="H76" i="19"/>
  <c r="I76" i="19" s="1"/>
  <c r="H75" i="19"/>
  <c r="I75" i="19" s="1"/>
  <c r="H74" i="19"/>
  <c r="I74" i="19" s="1"/>
  <c r="H73" i="19"/>
  <c r="I73" i="19" s="1"/>
  <c r="H72" i="19"/>
  <c r="I72" i="19" s="1"/>
  <c r="H71" i="19"/>
  <c r="I71" i="19" s="1"/>
  <c r="H70" i="19"/>
  <c r="I70" i="19" s="1"/>
  <c r="H69" i="19"/>
  <c r="I69" i="19" s="1"/>
  <c r="H68" i="19"/>
  <c r="I68" i="19" s="1"/>
  <c r="H67" i="19"/>
  <c r="I67" i="19" s="1"/>
  <c r="H66" i="19"/>
  <c r="I66" i="19" s="1"/>
  <c r="H65" i="19"/>
  <c r="I65" i="19" s="1"/>
  <c r="H64" i="19"/>
  <c r="I64" i="19" s="1"/>
  <c r="H63" i="19"/>
  <c r="I63" i="19" s="1"/>
  <c r="H62" i="19"/>
  <c r="I62" i="19" s="1"/>
  <c r="H61" i="19"/>
  <c r="I61" i="19" s="1"/>
  <c r="H60" i="19"/>
  <c r="I60" i="19" s="1"/>
  <c r="H59" i="19"/>
  <c r="I59" i="19" s="1"/>
  <c r="H58" i="19"/>
  <c r="I58" i="19" s="1"/>
  <c r="H57" i="19"/>
  <c r="I57" i="19" s="1"/>
  <c r="H56" i="19"/>
  <c r="I56" i="19" s="1"/>
  <c r="H55" i="19"/>
  <c r="I55" i="19" s="1"/>
  <c r="H54" i="19"/>
  <c r="I54" i="19" s="1"/>
  <c r="H53" i="19"/>
  <c r="I53" i="19" s="1"/>
  <c r="H52" i="19"/>
  <c r="I52" i="19" s="1"/>
  <c r="H51" i="19"/>
  <c r="I51" i="19" s="1"/>
  <c r="H50" i="19"/>
  <c r="I50" i="19" s="1"/>
  <c r="H49" i="19"/>
  <c r="I49" i="19" s="1"/>
  <c r="H48" i="19"/>
  <c r="I48" i="19" s="1"/>
  <c r="H47" i="19"/>
  <c r="I47" i="19" s="1"/>
  <c r="H46" i="19"/>
  <c r="I46" i="19" s="1"/>
  <c r="H45" i="19"/>
  <c r="I45" i="19" s="1"/>
  <c r="H44" i="19"/>
  <c r="I44" i="19" s="1"/>
  <c r="H43" i="19"/>
  <c r="I43" i="19" s="1"/>
  <c r="H42" i="19"/>
  <c r="I42" i="19" s="1"/>
  <c r="H41" i="19"/>
  <c r="I41" i="19" s="1"/>
  <c r="H40" i="19"/>
  <c r="I40" i="19" s="1"/>
  <c r="H39" i="19"/>
  <c r="I39" i="19" s="1"/>
  <c r="H38" i="19"/>
  <c r="I38" i="19" s="1"/>
  <c r="H37" i="19"/>
  <c r="I37" i="19" s="1"/>
  <c r="H36" i="19"/>
  <c r="I36" i="19" s="1"/>
  <c r="H35" i="19"/>
  <c r="I35" i="19" s="1"/>
  <c r="H34" i="19"/>
  <c r="I34" i="19" s="1"/>
  <c r="H33" i="19"/>
  <c r="I33" i="19" s="1"/>
  <c r="H32" i="19"/>
  <c r="I32" i="19" s="1"/>
  <c r="H31" i="19"/>
  <c r="I31" i="19" s="1"/>
  <c r="H30" i="19"/>
  <c r="I30" i="19" s="1"/>
  <c r="H29" i="19"/>
  <c r="I29" i="19" s="1"/>
  <c r="H28" i="19"/>
  <c r="I28" i="19" s="1"/>
  <c r="H27" i="19"/>
  <c r="I27" i="19" s="1"/>
  <c r="H26" i="19"/>
  <c r="I26" i="19" s="1"/>
  <c r="H20" i="19"/>
  <c r="I20" i="19" s="1"/>
  <c r="H19" i="19"/>
  <c r="I19" i="19" s="1"/>
  <c r="H18" i="19"/>
  <c r="I18" i="19" s="1"/>
  <c r="H17" i="19"/>
  <c r="I17" i="19" s="1"/>
  <c r="C19" i="29" l="1"/>
  <c r="F19" i="29" s="1"/>
  <c r="H19" i="29" s="1"/>
  <c r="C12" i="29"/>
  <c r="C9" i="29"/>
  <c r="F45" i="28"/>
  <c r="E45" i="28"/>
  <c r="D45" i="28"/>
  <c r="C45" i="28"/>
  <c r="F41" i="28"/>
  <c r="E41" i="28"/>
  <c r="D41" i="28"/>
  <c r="C41" i="28"/>
  <c r="F34" i="28"/>
  <c r="E34" i="28"/>
  <c r="D34" i="28"/>
  <c r="C34" i="28"/>
  <c r="F22" i="28"/>
  <c r="E22" i="28"/>
  <c r="D22" i="28"/>
  <c r="C22" i="28"/>
  <c r="D46" i="28" l="1"/>
  <c r="F46" i="28"/>
  <c r="E46" i="28"/>
  <c r="C46" i="28"/>
  <c r="E15" i="22"/>
  <c r="B4" i="21"/>
  <c r="B6" i="22"/>
  <c r="D10" i="22" l="1"/>
  <c r="D12" i="22"/>
  <c r="H23" i="19" l="1"/>
  <c r="A81" i="26" l="1"/>
  <c r="C72" i="26" l="1"/>
  <c r="B48" i="26" l="1"/>
  <c r="B65" i="26"/>
  <c r="C60" i="26" l="1"/>
  <c r="C56" i="26"/>
  <c r="C38" i="26"/>
  <c r="C52" i="26" l="1"/>
  <c r="C46" i="26" l="1"/>
  <c r="E46" i="26" s="1"/>
  <c r="G82" i="19" l="1"/>
  <c r="G23" i="26"/>
  <c r="B40" i="26" s="1"/>
  <c r="D32" i="26" l="1"/>
  <c r="D31" i="26"/>
  <c r="D33" i="26" l="1"/>
  <c r="D27" i="26" l="1"/>
  <c r="D26" i="26"/>
  <c r="D6" i="26"/>
  <c r="H24" i="19"/>
  <c r="I24" i="19" s="1"/>
  <c r="E14" i="26"/>
  <c r="E16" i="26" s="1"/>
  <c r="D28" i="26" l="1"/>
  <c r="F29" i="26" s="1"/>
  <c r="K75" i="19" l="1"/>
  <c r="K74" i="19"/>
  <c r="E6" i="22" l="1"/>
  <c r="K72" i="19"/>
  <c r="K70" i="19"/>
  <c r="K69" i="19"/>
  <c r="K68" i="19"/>
  <c r="K28" i="19"/>
  <c r="K32" i="19" s="1"/>
  <c r="I23" i="19"/>
  <c r="I82" i="19" s="1"/>
  <c r="H25" i="19"/>
  <c r="I25" i="19" s="1"/>
  <c r="H16" i="19"/>
  <c r="I16" i="19" s="1"/>
  <c r="I21" i="19" s="1"/>
  <c r="G21" i="19"/>
  <c r="K16" i="19"/>
  <c r="K21" i="19" s="1"/>
  <c r="J21" i="19" s="1"/>
  <c r="B6" i="21"/>
  <c r="B4" i="22"/>
  <c r="B5" i="22"/>
  <c r="K23" i="19"/>
  <c r="K26" i="19" s="1"/>
  <c r="J26" i="19" s="1"/>
  <c r="K25" i="19"/>
  <c r="K79" i="19"/>
  <c r="J79" i="19" s="1"/>
  <c r="F15" i="21" l="1"/>
  <c r="F12" i="21"/>
  <c r="F17" i="21" l="1"/>
  <c r="L16" i="19"/>
  <c r="E17" i="21"/>
  <c r="D10" i="21" l="1"/>
  <c r="D13" i="21"/>
  <c r="G17" i="21" l="1"/>
  <c r="D17" i="21"/>
</calcChain>
</file>

<file path=xl/sharedStrings.xml><?xml version="1.0" encoding="utf-8"?>
<sst xmlns="http://schemas.openxmlformats.org/spreadsheetml/2006/main" count="461" uniqueCount="316">
  <si>
    <t>Item</t>
  </si>
  <si>
    <t>Descrição</t>
  </si>
  <si>
    <t xml:space="preserve">UN </t>
  </si>
  <si>
    <t>Unitário</t>
  </si>
  <si>
    <t>SERVIÇOS PRELIMINARES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</si>
  <si>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</si>
  <si>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</si>
  <si>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</si>
  <si>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</si>
  <si>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</si>
  <si>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</si>
  <si>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TOTAIS MENSAIS</t>
  </si>
  <si>
    <t>TOTAIS ACUMULADOS</t>
  </si>
  <si>
    <t>RESUMO DA OBRA</t>
  </si>
  <si>
    <t>ITEM.</t>
  </si>
  <si>
    <t>30 DIAS</t>
  </si>
  <si>
    <t xml:space="preserve">Unit. c/ BDI </t>
  </si>
  <si>
    <t>Valor Total</t>
  </si>
  <si>
    <t>TOTAL ACUM.</t>
  </si>
  <si>
    <t>VALORES</t>
  </si>
  <si>
    <t>Quant.</t>
  </si>
  <si>
    <t>VALOR</t>
  </si>
  <si>
    <t>C/ BASE SOB  REMANECENTE</t>
  </si>
  <si>
    <t xml:space="preserve">          Data:17/julho/2017</t>
  </si>
  <si>
    <t>74209/001</t>
  </si>
  <si>
    <t>COMPOSIÇÃO 01</t>
  </si>
  <si>
    <t>B.D.I: 27,63%</t>
  </si>
  <si>
    <t xml:space="preserve">       PLANILHA  ORÇAMENTÁRIA </t>
  </si>
  <si>
    <t>TOTAL GERAL DO ORÇAMENTO</t>
  </si>
  <si>
    <t>1.1</t>
  </si>
  <si>
    <t>2.1</t>
  </si>
  <si>
    <t>2.2</t>
  </si>
  <si>
    <t>2.3</t>
  </si>
  <si>
    <t>piso tatil</t>
  </si>
  <si>
    <t xml:space="preserve">                                      Santo Antonio do Leste - MT</t>
  </si>
  <si>
    <t>Tapume</t>
  </si>
  <si>
    <t>quadra 80x80</t>
  </si>
  <si>
    <t>descontar 1,20 de passeio</t>
  </si>
  <si>
    <t>perímetro</t>
  </si>
  <si>
    <t>74220/001</t>
  </si>
  <si>
    <t>altura</t>
  </si>
  <si>
    <t>área  total</t>
  </si>
  <si>
    <t>Placa de Obra</t>
  </si>
  <si>
    <t>h</t>
  </si>
  <si>
    <t>c</t>
  </si>
  <si>
    <t>área</t>
  </si>
  <si>
    <t>largura</t>
  </si>
  <si>
    <t>comprimento</t>
  </si>
  <si>
    <t>área total</t>
  </si>
  <si>
    <t>volume</t>
  </si>
  <si>
    <t>Guia Calçada</t>
  </si>
  <si>
    <t>Guia Jardim</t>
  </si>
  <si>
    <t>5ª MEDIÇÃO</t>
  </si>
  <si>
    <t>Area</t>
  </si>
  <si>
    <t>espessura</t>
  </si>
  <si>
    <t>Volume a demolir</t>
  </si>
  <si>
    <t>area estacionamento</t>
  </si>
  <si>
    <t>Área de piso a executar</t>
  </si>
  <si>
    <t>Area de pintura de piso cimentado</t>
  </si>
  <si>
    <t>Volume do piso de concreto a demolir</t>
  </si>
  <si>
    <t>comprimento a demolir</t>
  </si>
  <si>
    <t>volume a demolir</t>
  </si>
  <si>
    <t>area piso novo da praça</t>
  </si>
  <si>
    <t>area piso a refazer</t>
  </si>
  <si>
    <t>Guias a demolir</t>
  </si>
  <si>
    <t>Linear</t>
  </si>
  <si>
    <t>Volume</t>
  </si>
  <si>
    <t>guia jardim a recuperar</t>
  </si>
  <si>
    <t>linear</t>
  </si>
  <si>
    <t>area</t>
  </si>
  <si>
    <t>Palco e WCs</t>
  </si>
  <si>
    <t>Paredes</t>
  </si>
  <si>
    <t>Piso palco</t>
  </si>
  <si>
    <t>Cobertura WCs</t>
  </si>
  <si>
    <t>Escavação para eletrodutos</t>
  </si>
  <si>
    <t>corte 15x15</t>
  </si>
  <si>
    <t>Janelas</t>
  </si>
  <si>
    <t>qntd</t>
  </si>
  <si>
    <t>vidro a relocar</t>
  </si>
  <si>
    <t>120x60</t>
  </si>
  <si>
    <t>RESPONSÁVEL TÉCNICO: JOÃO PAULO CAMARGO</t>
  </si>
  <si>
    <t>CREA 121744373-8</t>
  </si>
  <si>
    <t xml:space="preserve">       PLANILHA  DE ENCARGOS SOCIAIS SOBRE MÃO DE OBRA</t>
  </si>
  <si>
    <t xml:space="preserve">        Município: Santo Antonio do Leste - MT</t>
  </si>
  <si>
    <t>ENCARGOS SOCIAIS SOBRE A MÃO DE OBRA</t>
  </si>
  <si>
    <t>CÓDIGO</t>
  </si>
  <si>
    <t>DESCRIÇÃO</t>
  </si>
  <si>
    <t>COM DESONERAÇÃO</t>
  </si>
  <si>
    <t>SEM DESONERAÇÃO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</si>
  <si>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</si>
  <si>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</si>
  <si>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</si>
  <si>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</si>
  <si>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</si>
  <si>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</si>
  <si>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</si>
  <si>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</si>
  <si>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</si>
  <si>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</si>
  <si>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</si>
  <si>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</si>
  <si>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</si>
  <si>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</si>
  <si>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</si>
  <si>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</si>
  <si>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</si>
  <si>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</si>
  <si>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</si>
  <si>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</si>
  <si>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</si>
  <si>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</si>
  <si>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</si>
  <si>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</si>
  <si>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</si>
  <si>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</si>
  <si>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</si>
  <si>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</si>
  <si>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</si>
  <si>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</si>
  <si>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</si>
  <si>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</si>
  <si>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</si>
  <si>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</si>
  <si>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</si>
  <si>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</si>
  <si>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</si>
  <si>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</si>
  <si>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</si>
  <si>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</si>
  <si>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</si>
  <si>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</si>
  <si>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</si>
  <si>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</si>
  <si>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</si>
  <si>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</si>
  <si>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</si>
  <si>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</si>
  <si>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</si>
  <si>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</si>
  <si>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</si>
  <si>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</si>
  <si>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</si>
  <si>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</si>
  <si>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</si>
  <si>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</si>
  <si>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</si>
  <si>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</si>
  <si>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</si>
  <si>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</si>
  <si>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</si>
  <si>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</si>
  <si>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</si>
  <si>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</si>
  <si>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TOTAL(A+B+C+D)</t>
  </si>
  <si>
    <t>Fonte: Informação Dias de Chuva - INMET</t>
  </si>
  <si>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</si>
  <si>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</si>
  <si>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</si>
  <si>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</si>
  <si>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t>R - Riscos</t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</si>
  <si>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</si>
  <si>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</si>
  <si>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</si>
  <si>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</si>
  <si>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</si>
  <si>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</si>
  <si>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</si>
  <si>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</si>
  <si>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</si>
  <si>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t>Contribuição Previdenciária - Lei N°12.546/13</t>
  </si>
  <si>
    <r>
      <rPr>
        <b/>
        <sz val="8"/>
        <rFont val="Times New Roman"/>
        <family val="1"/>
      </rPr>
      <t>BDI=</t>
    </r>
  </si>
  <si>
    <t>Nota técnica: O ISSQN de 2,5% esta baseado sobre 60% conforme Lei Municipal n°114/03</t>
  </si>
  <si>
    <t xml:space="preserve">                                       Fonte de valores: Cotação</t>
  </si>
  <si>
    <t>DATA:27/02/2020</t>
  </si>
  <si>
    <t>Avenida Brasil - Centro                                                                                                                                         Coordenadas Geográficas da Obra: Latitude 14°48'06.4"S - Longitude 53°36'39.8"O</t>
  </si>
  <si>
    <t>Placa de obra em chapa de aço galvanizado</t>
  </si>
  <si>
    <t>Cotação</t>
  </si>
  <si>
    <t>1.2</t>
  </si>
  <si>
    <t>1.3</t>
  </si>
  <si>
    <t>1.4</t>
  </si>
  <si>
    <t>1.5</t>
  </si>
  <si>
    <t>Mobilização e desmobilização de equipamentos (inclusive caminhão guidauto) em distância de 120km</t>
  </si>
  <si>
    <t>m²</t>
  </si>
  <si>
    <t>Estadia de equipes e equipamentos (refrência, aluguel de container)</t>
  </si>
  <si>
    <t>mês</t>
  </si>
  <si>
    <t>Administração local</t>
  </si>
  <si>
    <t>Serviços de mão de obra de eletricistas auxiliares e equipamentos</t>
  </si>
  <si>
    <t>SERVIÇOS COMPLEMENTARES</t>
  </si>
  <si>
    <t>MATERIAIS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</si>
  <si>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</si>
  <si>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</si>
  <si>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</si>
  <si>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</si>
  <si>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</si>
  <si>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</si>
  <si>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</si>
  <si>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</si>
  <si>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</si>
  <si>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</si>
  <si>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</si>
  <si>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</si>
  <si>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</si>
  <si>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</si>
  <si>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</si>
  <si>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</si>
  <si>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</si>
  <si>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</si>
  <si>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</si>
  <si>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</si>
  <si>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</si>
  <si>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</si>
  <si>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</si>
  <si>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</si>
  <si>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</si>
  <si>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</si>
  <si>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</si>
  <si>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</si>
  <si>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</si>
  <si>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</si>
  <si>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</si>
  <si>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</si>
  <si>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</si>
  <si>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</si>
  <si>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</si>
  <si>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</si>
  <si>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</si>
  <si>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</si>
  <si>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</si>
  <si>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</si>
  <si>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</si>
  <si>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</si>
  <si>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</si>
  <si>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</si>
  <si>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</si>
  <si>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</si>
  <si>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</si>
  <si>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</si>
  <si>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</si>
  <si>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</si>
  <si>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</si>
  <si>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</si>
  <si>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</si>
  <si>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</si>
  <si>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</si>
  <si>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</si>
  <si>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Alça pré-formada serviço aço 10 mm²</t>
  </si>
  <si>
    <t>pç</t>
  </si>
  <si>
    <t>Arruela quadrada</t>
  </si>
  <si>
    <t>Arruela espaçadora</t>
  </si>
  <si>
    <t>Armação secundária 1 estribo - zincada</t>
  </si>
  <si>
    <t>Armação secundária 2 estribo - zincada</t>
  </si>
  <si>
    <t>Cartucho para conector cunha - (azul)</t>
  </si>
  <si>
    <t>Cartucho para conector cunha - (vermelho)</t>
  </si>
  <si>
    <t>Chave fusível religadora - tipo C - 36,2 kV 2kA</t>
  </si>
  <si>
    <t>Cimento (saco com 50kg)</t>
  </si>
  <si>
    <r>
      <t xml:space="preserve">Cinta circular de </t>
    </r>
    <r>
      <rPr>
        <sz val="10"/>
        <rFont val="Calibri"/>
        <family val="2"/>
      </rPr>
      <t>Ø 200 mm</t>
    </r>
  </si>
  <si>
    <t>Cinta circular de Ø 210 mm</t>
  </si>
  <si>
    <t>Cinta circular de Ø 220 mm</t>
  </si>
  <si>
    <t>Cinta circular de Ø 250 mm</t>
  </si>
  <si>
    <t>Conector derivação cunha tipo estribo normal - 2-4 (vermelho)</t>
  </si>
  <si>
    <t>Conector derivação para linha viva - 6-250</t>
  </si>
  <si>
    <t>Conector cunha alumínio 10,11 mm / 8,38 mm VM (CADC-101 - INTELLI)</t>
  </si>
  <si>
    <t>Conector cunha alumínio 14,53 mm / 11,79 mm VM (CADC-351 - INTELLI)</t>
  </si>
  <si>
    <t>Conector cunha aluminio 336,4 MCM / 2AWG AM (CADC-407 - INTELLI)</t>
  </si>
  <si>
    <t>Conector cunha tipo I</t>
  </si>
  <si>
    <t>Conector cunha tipo II</t>
  </si>
  <si>
    <t>Conector cunha tipo IV</t>
  </si>
  <si>
    <t>Conector cunha liga de alumínio CN 13 série vermelho</t>
  </si>
  <si>
    <t>Conector derivação perf aimples TERMOPL 35-120 mm² / 10-35 mm²</t>
  </si>
  <si>
    <t>Conector derivação paral perf 95 mm²/ 10 mm²</t>
  </si>
  <si>
    <t>Cordoalha aço carb CL A 7 fios MR 6,40 mm 1430 kgf</t>
  </si>
  <si>
    <t>m</t>
  </si>
  <si>
    <t>Eletroduto rígido PVC 1/2"</t>
  </si>
  <si>
    <t>Elo fusível tipo 10 K</t>
  </si>
  <si>
    <t>Emenda preformada para cabo 2CA</t>
  </si>
  <si>
    <t>Emenda preformada para cabo 2CAA</t>
  </si>
  <si>
    <t>Espaçador de isoladores</t>
  </si>
  <si>
    <t>Fio de alumínio 6 AWG 1F mole</t>
  </si>
  <si>
    <t>kg</t>
  </si>
  <si>
    <t>Fio isolado 450/750V CU 6mm² CL 1 PT</t>
  </si>
  <si>
    <t>Fita de amarração cabos lisa alumínio 10 mm²</t>
  </si>
  <si>
    <t>Gancho olhal</t>
  </si>
  <si>
    <t>Haste de aterramento prolongável aço-cobre 5/8" x 2400 mm</t>
  </si>
  <si>
    <t>Isolador roldana porcelana marrom</t>
  </si>
  <si>
    <t>Isolador pilar - 170 kV 36,2 kV p/ 57 mm</t>
  </si>
  <si>
    <t>Isolador tipo bastão - polimérico - 36 kV</t>
  </si>
  <si>
    <t>Laço pré-formado topo distribuição para cabo CAA 2 AWG para isolador de pes</t>
  </si>
  <si>
    <t>Manilha sapatilha</t>
  </si>
  <si>
    <t>Mão francesa perfilada</t>
  </si>
  <si>
    <t>Mão francesa plana de 619 mm</t>
  </si>
  <si>
    <t>Olhal para parafuso</t>
  </si>
  <si>
    <t>Parafuso de cabeça abaulada de 150 mm</t>
  </si>
  <si>
    <t>Parafuso de cabeça abaulada de 50 mm</t>
  </si>
  <si>
    <t>Parafuso de cabeça abaulada de 70 mm</t>
  </si>
  <si>
    <t>Parafuso de cabeça quadrada de 125 mm</t>
  </si>
  <si>
    <t>Parafuso de cabeça quadrada de 150 mm</t>
  </si>
  <si>
    <t>Parafuso de cabeça quadrada de 200 mm</t>
  </si>
  <si>
    <t>Parafuso de cabeça quadrada de 250 mm</t>
  </si>
  <si>
    <t>Parafuso de rosca dupla de 400 mm</t>
  </si>
  <si>
    <t>Parafuso de rosca dupla de 500 mm</t>
  </si>
  <si>
    <t>Parafuso de rosca dupla de 550 mm</t>
  </si>
  <si>
    <t>Pino auto-travante - 140 mm para isolador pilar</t>
  </si>
  <si>
    <t>Placa de concreto</t>
  </si>
  <si>
    <t>Sapatilha</t>
  </si>
  <si>
    <t>15 DIAS</t>
  </si>
  <si>
    <t>Avenida Brasil - Centro                                                                                                          Coordenadas Geográficas da Obra: Latitude 14°48'06.4"S - Longitude 53°36'39.8"O</t>
  </si>
  <si>
    <r>
      <t xml:space="preserve">                                 Fonte de Referência:Caixa Econômica Federal         D</t>
    </r>
    <r>
      <rPr>
        <b/>
        <sz val="10"/>
        <rFont val="Arial"/>
        <family val="2"/>
      </rPr>
      <t>ata: 11/2019</t>
    </r>
  </si>
  <si>
    <t>Avenida Brasil - Centro                                                                                                                                                         Coordenadas Geográficas da Obra: Latitude 14°48'06.4"S - Longitude 53°36'39.8"O</t>
  </si>
  <si>
    <t>ENCARGOS SOCIAIS SOBRE MÃO DE OBRA: 84,98%</t>
  </si>
  <si>
    <t>IMPORTA O PRESENTE ORÇAMENTO EM R$ 115.988,30 - CENTO E QUINZE MIL, NOVECENTOS E OITENTA E OITO REAIS E TRINTA CENTAVOS</t>
  </si>
  <si>
    <t xml:space="preserve">      ENCARGOS SOCIAIS SOBRE MÃO DE OBRA: 84,98%</t>
  </si>
  <si>
    <t>Sela para cruzeta</t>
  </si>
  <si>
    <t>Alça pré-formada distribuição para cabo CA ou CAA 2 AWG</t>
  </si>
  <si>
    <t>Alça pré-formada distribuição para cabo CA ou CAA 1/0 AWG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</si>
  <si>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11/19</t>
    </r>
  </si>
  <si>
    <t>Execução de obra de remoção e instalação de rede elétrica de MT e 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</si>
</sst>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  <numFmt numFmtId="167" formatCode="0.000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3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Times New Roman"/>
      <family val="2"/>
    </font>
    <font>
      <b/>
      <sz val="9.5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8"/>
      <color rgb="FF000000"/>
      <name val="Arial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0" fontId="18" fillId="0" borderId="0"/>
    <xf numFmtId="0" fontId="18" fillId="0" borderId="0"/>
    <xf numFmtId="0" fontId="17" fillId="0" borderId="0"/>
    <xf numFmtId="0" fontId="2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3" fillId="0" borderId="0"/>
    <xf numFmtId="0" fontId="2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67" fontId="0" fillId="0" borderId="0" xfId="0" applyNumberFormat="1"/>
    <xf numFmtId="4" fontId="0" fillId="0" borderId="0" xfId="0" applyNumberFormat="1" applyAlignment="1">
      <alignment horizont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0" borderId="0" xfId="0" applyBorder="1" applyAlignment="1">
      <alignment horizontal="left" vertical="center" wrapText="1"/>
    </xf>
    <xf numFmtId="0" fontId="6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13" fillId="0" borderId="0" xfId="0" applyFont="1"/>
    <xf numFmtId="0" fontId="6" fillId="0" borderId="0" xfId="0" applyFont="1" applyBorder="1"/>
    <xf numFmtId="0" fontId="13" fillId="0" borderId="2" xfId="0" applyFont="1" applyBorder="1"/>
    <xf numFmtId="0" fontId="6" fillId="0" borderId="2" xfId="0" applyFont="1" applyBorder="1"/>
    <xf numFmtId="0" fontId="4" fillId="0" borderId="3" xfId="0" applyFont="1" applyBorder="1"/>
    <xf numFmtId="0" fontId="13" fillId="0" borderId="3" xfId="0" applyFont="1" applyBorder="1"/>
    <xf numFmtId="0" fontId="16" fillId="0" borderId="4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0" fontId="13" fillId="0" borderId="6" xfId="34" applyNumberFormat="1" applyFont="1" applyBorder="1"/>
    <xf numFmtId="165" fontId="13" fillId="0" borderId="8" xfId="50" applyFont="1" applyBorder="1"/>
    <xf numFmtId="165" fontId="13" fillId="0" borderId="7" xfId="50" applyFont="1" applyBorder="1"/>
    <xf numFmtId="165" fontId="16" fillId="0" borderId="7" xfId="50" applyFont="1" applyBorder="1"/>
    <xf numFmtId="9" fontId="16" fillId="0" borderId="1" xfId="34" applyNumberFormat="1" applyFont="1" applyBorder="1" applyAlignment="1">
      <alignment horizontal="center"/>
    </xf>
    <xf numFmtId="165" fontId="16" fillId="0" borderId="1" xfId="50" applyFont="1" applyBorder="1" applyAlignment="1">
      <alignment horizontal="center"/>
    </xf>
    <xf numFmtId="165" fontId="13" fillId="0" borderId="1" xfId="0" applyNumberFormat="1" applyFont="1" applyBorder="1"/>
    <xf numFmtId="0" fontId="16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0" fontId="4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9" fillId="0" borderId="17" xfId="0" applyFont="1" applyBorder="1" applyAlignment="1">
      <alignment horizontal="right"/>
    </xf>
    <xf numFmtId="0" fontId="20" fillId="0" borderId="0" xfId="24" applyFont="1" applyBorder="1"/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0" fontId="4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20" fillId="7" borderId="0" xfId="24" applyFont="1" applyFill="1" applyBorder="1"/>
    <xf numFmtId="0" fontId="4" fillId="7" borderId="0" xfId="0" applyFont="1" applyFill="1" applyAlignment="1">
      <alignment vertical="center"/>
    </xf>
    <xf numFmtId="166" fontId="20" fillId="7" borderId="0" xfId="24" applyNumberFormat="1" applyFont="1" applyFill="1" applyBorder="1"/>
    <xf numFmtId="0" fontId="11" fillId="7" borderId="0" xfId="0" applyFont="1" applyFill="1" applyAlignment="1">
      <alignment vertical="center"/>
    </xf>
    <xf numFmtId="0" fontId="10" fillId="7" borderId="0" xfId="0" applyFont="1" applyFill="1" applyAlignment="1">
      <alignment vertical="center" wrapText="1"/>
    </xf>
    <xf numFmtId="0" fontId="0" fillId="7" borderId="0" xfId="0" applyFill="1"/>
    <xf numFmtId="0" fontId="10" fillId="7" borderId="0" xfId="0" applyFont="1" applyFill="1"/>
    <xf numFmtId="0" fontId="2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2" fontId="0" fillId="0" borderId="0" xfId="0" applyNumberFormat="1"/>
    <xf numFmtId="0" fontId="22" fillId="0" borderId="6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6" fillId="0" borderId="21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14" xfId="0" applyFont="1" applyBorder="1"/>
    <xf numFmtId="0" fontId="9" fillId="0" borderId="14" xfId="0" applyFont="1" applyBorder="1" applyAlignment="1"/>
    <xf numFmtId="0" fontId="6" fillId="0" borderId="23" xfId="0" applyFont="1" applyBorder="1"/>
    <xf numFmtId="0" fontId="6" fillId="0" borderId="17" xfId="0" applyFont="1" applyBorder="1"/>
    <xf numFmtId="0" fontId="13" fillId="0" borderId="22" xfId="0" applyFont="1" applyBorder="1"/>
    <xf numFmtId="9" fontId="16" fillId="0" borderId="24" xfId="34" applyNumberFormat="1" applyFont="1" applyBorder="1" applyAlignment="1">
      <alignment horizontal="center"/>
    </xf>
    <xf numFmtId="165" fontId="16" fillId="0" borderId="24" xfId="50" applyFont="1" applyBorder="1" applyAlignment="1">
      <alignment horizontal="center"/>
    </xf>
    <xf numFmtId="0" fontId="13" fillId="0" borderId="0" xfId="0" applyFont="1" applyBorder="1"/>
    <xf numFmtId="0" fontId="16" fillId="0" borderId="0" xfId="0" applyFont="1" applyBorder="1"/>
    <xf numFmtId="10" fontId="13" fillId="0" borderId="0" xfId="34" applyNumberFormat="1" applyFont="1" applyBorder="1"/>
    <xf numFmtId="0" fontId="20" fillId="7" borderId="0" xfId="24" applyFont="1" applyFill="1" applyBorder="1"/>
    <xf numFmtId="4" fontId="29" fillId="4" borderId="1" xfId="0" applyNumberFormat="1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vertical="center" wrapText="1"/>
    </xf>
    <xf numFmtId="0" fontId="28" fillId="4" borderId="1" xfId="0" quotePrefix="1" applyFont="1" applyFill="1" applyBorder="1" applyAlignment="1">
      <alignment horizontal="center" vertical="center" wrapText="1"/>
    </xf>
    <xf numFmtId="167" fontId="28" fillId="4" borderId="1" xfId="0" applyNumberFormat="1" applyFont="1" applyFill="1" applyBorder="1" applyAlignment="1">
      <alignment horizontal="center" vertical="center" wrapText="1"/>
    </xf>
    <xf numFmtId="2" fontId="28" fillId="4" borderId="1" xfId="0" applyNumberFormat="1" applyFont="1" applyFill="1" applyBorder="1" applyAlignment="1">
      <alignment vertical="center" wrapText="1"/>
    </xf>
    <xf numFmtId="2" fontId="28" fillId="4" borderId="1" xfId="0" applyNumberFormat="1" applyFont="1" applyFill="1" applyBorder="1" applyAlignment="1">
      <alignment horizontal="center" vertical="center" wrapText="1"/>
    </xf>
    <xf numFmtId="10" fontId="29" fillId="9" borderId="1" xfId="0" applyNumberFormat="1" applyFont="1" applyFill="1" applyBorder="1" applyAlignment="1">
      <alignment horizontal="center" vertical="center" wrapText="1"/>
    </xf>
    <xf numFmtId="10" fontId="29" fillId="4" borderId="1" xfId="0" applyNumberFormat="1" applyFont="1" applyFill="1" applyBorder="1" applyAlignment="1">
      <alignment horizontal="center" vertical="center" wrapText="1"/>
    </xf>
    <xf numFmtId="4" fontId="28" fillId="5" borderId="0" xfId="0" applyNumberFormat="1" applyFont="1" applyFill="1" applyBorder="1" applyAlignment="1">
      <alignment horizontal="right" vertical="center" wrapText="1"/>
    </xf>
    <xf numFmtId="10" fontId="28" fillId="6" borderId="0" xfId="0" applyNumberFormat="1" applyFont="1" applyFill="1" applyBorder="1" applyAlignment="1">
      <alignment horizontal="right" vertical="center" wrapText="1"/>
    </xf>
    <xf numFmtId="4" fontId="28" fillId="6" borderId="0" xfId="0" applyNumberFormat="1" applyFont="1" applyFill="1" applyBorder="1" applyAlignment="1">
      <alignment vertical="center" wrapText="1"/>
    </xf>
    <xf numFmtId="10" fontId="28" fillId="5" borderId="0" xfId="64" applyNumberFormat="1" applyFont="1" applyFill="1" applyBorder="1" applyAlignment="1">
      <alignment vertical="center" wrapText="1"/>
    </xf>
    <xf numFmtId="4" fontId="29" fillId="4" borderId="1" xfId="0" applyNumberFormat="1" applyFont="1" applyFill="1" applyBorder="1" applyAlignment="1">
      <alignment vertical="center" wrapText="1"/>
    </xf>
    <xf numFmtId="10" fontId="29" fillId="6" borderId="0" xfId="0" applyNumberFormat="1" applyFont="1" applyFill="1" applyBorder="1" applyAlignment="1">
      <alignment horizontal="right" vertical="center" wrapText="1"/>
    </xf>
    <xf numFmtId="4" fontId="29" fillId="6" borderId="0" xfId="0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 wrapText="1"/>
    </xf>
    <xf numFmtId="4" fontId="28" fillId="4" borderId="1" xfId="0" applyNumberFormat="1" applyFont="1" applyFill="1" applyBorder="1" applyAlignment="1">
      <alignment horizontal="center" vertical="center" wrapText="1"/>
    </xf>
    <xf numFmtId="4" fontId="28" fillId="4" borderId="1" xfId="0" applyNumberFormat="1" applyFont="1" applyFill="1" applyBorder="1" applyAlignment="1">
      <alignment horizontal="right" vertical="center" wrapText="1"/>
    </xf>
    <xf numFmtId="10" fontId="28" fillId="7" borderId="0" xfId="0" applyNumberFormat="1" applyFont="1" applyFill="1" applyBorder="1" applyAlignment="1">
      <alignment horizontal="right" vertical="center" wrapText="1"/>
    </xf>
    <xf numFmtId="4" fontId="28" fillId="7" borderId="0" xfId="0" applyNumberFormat="1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8" fillId="4" borderId="1" xfId="0" applyNumberFormat="1" applyFont="1" applyFill="1" applyBorder="1" applyAlignment="1">
      <alignment horizontal="center" vertical="center" wrapText="1"/>
    </xf>
    <xf numFmtId="4" fontId="28" fillId="7" borderId="0" xfId="45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right" vertical="center" wrapText="1"/>
    </xf>
    <xf numFmtId="4" fontId="28" fillId="7" borderId="0" xfId="45" applyNumberFormat="1" applyFont="1" applyFill="1" applyBorder="1" applyAlignment="1">
      <alignment vertical="center"/>
    </xf>
    <xf numFmtId="10" fontId="28" fillId="5" borderId="0" xfId="64" applyNumberFormat="1" applyFont="1" applyFill="1" applyBorder="1" applyAlignment="1">
      <alignment vertical="center"/>
    </xf>
    <xf numFmtId="10" fontId="28" fillId="7" borderId="0" xfId="0" applyNumberFormat="1" applyFont="1" applyFill="1" applyBorder="1" applyAlignment="1">
      <alignment horizontal="right" vertical="center"/>
    </xf>
    <xf numFmtId="4" fontId="28" fillId="7" borderId="0" xfId="0" applyNumberFormat="1" applyFont="1" applyFill="1" applyBorder="1" applyAlignment="1">
      <alignment vertical="center"/>
    </xf>
    <xf numFmtId="10" fontId="29" fillId="6" borderId="0" xfId="0" applyNumberFormat="1" applyFont="1" applyFill="1" applyBorder="1" applyAlignment="1">
      <alignment horizontal="right" vertical="center"/>
    </xf>
    <xf numFmtId="4" fontId="29" fillId="6" borderId="0" xfId="0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vertical="center" wrapText="1"/>
    </xf>
    <xf numFmtId="4" fontId="29" fillId="4" borderId="0" xfId="0" applyNumberFormat="1" applyFont="1" applyFill="1" applyBorder="1" applyAlignment="1">
      <alignment horizontal="center" vertical="center" wrapText="1"/>
    </xf>
    <xf numFmtId="4" fontId="29" fillId="5" borderId="0" xfId="0" applyNumberFormat="1" applyFont="1" applyFill="1" applyBorder="1" applyAlignment="1">
      <alignment horizontal="center" vertical="center" wrapText="1"/>
    </xf>
    <xf numFmtId="4" fontId="29" fillId="6" borderId="0" xfId="0" applyNumberFormat="1" applyFont="1" applyFill="1" applyBorder="1" applyAlignment="1">
      <alignment horizontal="center" vertical="center" wrapText="1"/>
    </xf>
    <xf numFmtId="4" fontId="29" fillId="6" borderId="0" xfId="0" applyNumberFormat="1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vertical="center"/>
    </xf>
    <xf numFmtId="4" fontId="29" fillId="4" borderId="26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31" fillId="0" borderId="0" xfId="22" applyFont="1"/>
    <xf numFmtId="10" fontId="31" fillId="0" borderId="1" xfId="34" applyNumberFormat="1" applyFont="1" applyBorder="1"/>
    <xf numFmtId="0" fontId="31" fillId="0" borderId="1" xfId="22" applyFont="1" applyBorder="1"/>
    <xf numFmtId="10" fontId="31" fillId="0" borderId="1" xfId="34" applyNumberFormat="1" applyFont="1" applyBorder="1" applyAlignment="1">
      <alignment horizontal="center" vertical="center"/>
    </xf>
    <xf numFmtId="0" fontId="6" fillId="0" borderId="1" xfId="22" applyBorder="1" applyAlignment="1">
      <alignment horizontal="center" vertical="center"/>
    </xf>
    <xf numFmtId="0" fontId="6" fillId="0" borderId="1" xfId="22" applyBorder="1" applyAlignment="1">
      <alignment vertical="center"/>
    </xf>
    <xf numFmtId="10" fontId="1" fillId="0" borderId="1" xfId="34" applyNumberFormat="1" applyFont="1" applyBorder="1" applyAlignment="1">
      <alignment horizontal="center" vertical="center"/>
    </xf>
    <xf numFmtId="0" fontId="6" fillId="8" borderId="1" xfId="22" applyFill="1" applyBorder="1" applyAlignment="1">
      <alignment horizontal="center" vertical="center"/>
    </xf>
    <xf numFmtId="0" fontId="6" fillId="8" borderId="1" xfId="22" applyFill="1" applyBorder="1" applyAlignment="1">
      <alignment vertical="center"/>
    </xf>
    <xf numFmtId="10" fontId="1" fillId="8" borderId="1" xfId="34" applyNumberFormat="1" applyFont="1" applyFill="1" applyBorder="1" applyAlignment="1">
      <alignment horizontal="center" vertical="center"/>
    </xf>
    <xf numFmtId="0" fontId="31" fillId="8" borderId="1" xfId="22" applyFont="1" applyFill="1" applyBorder="1" applyAlignment="1">
      <alignment horizontal="center" vertical="center"/>
    </xf>
    <xf numFmtId="10" fontId="31" fillId="8" borderId="1" xfId="34" applyNumberFormat="1" applyFont="1" applyFill="1" applyBorder="1" applyAlignment="1">
      <alignment horizontal="center" vertical="center"/>
    </xf>
    <xf numFmtId="0" fontId="31" fillId="0" borderId="1" xfId="22" applyFont="1" applyBorder="1" applyAlignment="1">
      <alignment horizontal="center" vertical="center"/>
    </xf>
    <xf numFmtId="0" fontId="31" fillId="8" borderId="1" xfId="22" applyFont="1" applyFill="1" applyBorder="1" applyAlignment="1">
      <alignment vertical="center"/>
    </xf>
    <xf numFmtId="0" fontId="6" fillId="8" borderId="1" xfId="22" applyFill="1" applyBorder="1" applyAlignment="1">
      <alignment vertical="center" wrapText="1"/>
    </xf>
    <xf numFmtId="10" fontId="30" fillId="10" borderId="1" xfId="34" applyNumberFormat="1" applyFont="1" applyFill="1" applyBorder="1" applyAlignment="1">
      <alignment horizontal="center" vertical="center"/>
    </xf>
    <xf numFmtId="10" fontId="31" fillId="0" borderId="0" xfId="34" applyNumberFormat="1" applyFont="1"/>
    <xf numFmtId="0" fontId="6" fillId="0" borderId="0" xfId="22" applyAlignment="1">
      <alignment horizontal="left" vertical="top"/>
    </xf>
    <xf numFmtId="0" fontId="38" fillId="0" borderId="1" xfId="22" applyFont="1" applyBorder="1" applyAlignment="1">
      <alignment horizontal="left" vertical="top" wrapText="1" indent="3"/>
    </xf>
    <xf numFmtId="0" fontId="13" fillId="0" borderId="27" xfId="22" applyFont="1" applyBorder="1" applyAlignment="1">
      <alignment horizontal="left" vertical="top" wrapText="1"/>
    </xf>
    <xf numFmtId="0" fontId="6" fillId="0" borderId="27" xfId="22" applyBorder="1" applyAlignment="1">
      <alignment horizontal="left" wrapText="1"/>
    </xf>
    <xf numFmtId="10" fontId="32" fillId="0" borderId="27" xfId="22" applyNumberFormat="1" applyFont="1" applyBorder="1" applyAlignment="1">
      <alignment horizontal="right" vertical="top" shrinkToFit="1"/>
    </xf>
    <xf numFmtId="0" fontId="13" fillId="0" borderId="28" xfId="22" applyFont="1" applyBorder="1" applyAlignment="1">
      <alignment horizontal="left" vertical="top" wrapText="1"/>
    </xf>
    <xf numFmtId="0" fontId="6" fillId="0" borderId="28" xfId="22" applyBorder="1" applyAlignment="1">
      <alignment horizontal="left" wrapText="1"/>
    </xf>
    <xf numFmtId="10" fontId="32" fillId="0" borderId="28" xfId="22" applyNumberFormat="1" applyFont="1" applyBorder="1" applyAlignment="1">
      <alignment horizontal="right" vertical="top" shrinkToFit="1"/>
    </xf>
    <xf numFmtId="10" fontId="39" fillId="0" borderId="28" xfId="22" applyNumberFormat="1" applyFont="1" applyBorder="1" applyAlignment="1">
      <alignment horizontal="right" vertical="top" shrinkToFit="1"/>
    </xf>
    <xf numFmtId="0" fontId="38" fillId="0" borderId="28" xfId="22" applyFont="1" applyBorder="1" applyAlignment="1">
      <alignment horizontal="left" vertical="top" wrapText="1" indent="3"/>
    </xf>
    <xf numFmtId="0" fontId="6" fillId="0" borderId="28" xfId="22" applyBorder="1" applyAlignment="1">
      <alignment horizontal="left" vertical="top" wrapText="1"/>
    </xf>
    <xf numFmtId="0" fontId="26" fillId="0" borderId="0" xfId="22" applyFont="1" applyAlignment="1">
      <alignment horizontal="left" vertical="top"/>
    </xf>
    <xf numFmtId="0" fontId="20" fillId="0" borderId="0" xfId="24" applyFont="1" applyBorder="1"/>
    <xf numFmtId="10" fontId="13" fillId="0" borderId="4" xfId="34" applyNumberFormat="1" applyFont="1" applyFill="1" applyBorder="1"/>
    <xf numFmtId="165" fontId="13" fillId="0" borderId="7" xfId="50" applyFont="1" applyFill="1" applyBorder="1"/>
    <xf numFmtId="165" fontId="13" fillId="0" borderId="4" xfId="50" applyFont="1" applyFill="1" applyBorder="1"/>
    <xf numFmtId="165" fontId="13" fillId="0" borderId="1" xfId="50" applyFont="1" applyFill="1" applyBorder="1"/>
    <xf numFmtId="165" fontId="13" fillId="0" borderId="1" xfId="0" applyNumberFormat="1" applyFont="1" applyFill="1" applyBorder="1"/>
    <xf numFmtId="0" fontId="20" fillId="7" borderId="0" xfId="24" applyFont="1" applyFill="1" applyBorder="1"/>
    <xf numFmtId="10" fontId="28" fillId="7" borderId="0" xfId="0" applyNumberFormat="1" applyFont="1" applyFill="1" applyBorder="1" applyAlignment="1">
      <alignment horizontal="center" vertical="center" wrapText="1"/>
    </xf>
    <xf numFmtId="10" fontId="4" fillId="0" borderId="0" xfId="44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right" vertical="center" wrapText="1"/>
    </xf>
    <xf numFmtId="0" fontId="9" fillId="4" borderId="16" xfId="0" applyFont="1" applyFill="1" applyBorder="1" applyAlignment="1">
      <alignment horizontal="right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0" fillId="0" borderId="0" xfId="24" applyFont="1" applyBorder="1"/>
    <xf numFmtId="0" fontId="29" fillId="4" borderId="10" xfId="0" applyFont="1" applyFill="1" applyBorder="1" applyAlignment="1">
      <alignment horizontal="right" vertical="center" wrapText="1"/>
    </xf>
    <xf numFmtId="0" fontId="29" fillId="4" borderId="18" xfId="0" applyFont="1" applyFill="1" applyBorder="1" applyAlignment="1">
      <alignment horizontal="right" vertical="center" wrapText="1"/>
    </xf>
    <xf numFmtId="10" fontId="29" fillId="4" borderId="10" xfId="0" applyNumberFormat="1" applyFont="1" applyFill="1" applyBorder="1" applyAlignment="1">
      <alignment horizontal="right" vertical="center" wrapText="1"/>
    </xf>
    <xf numFmtId="10" fontId="29" fillId="4" borderId="16" xfId="0" applyNumberFormat="1" applyFont="1" applyFill="1" applyBorder="1" applyAlignment="1">
      <alignment horizontal="right" vertical="center" wrapText="1"/>
    </xf>
    <xf numFmtId="14" fontId="29" fillId="6" borderId="0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" fontId="29" fillId="6" borderId="0" xfId="0" applyNumberFormat="1" applyFont="1" applyFill="1" applyBorder="1" applyAlignment="1">
      <alignment horizontal="center" vertical="center" wrapText="1"/>
    </xf>
    <xf numFmtId="10" fontId="28" fillId="6" borderId="0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9" borderId="0" xfId="0" applyFont="1" applyFill="1" applyBorder="1" applyAlignment="1">
      <alignment horizontal="right" vertical="center" wrapText="1"/>
    </xf>
    <xf numFmtId="0" fontId="9" fillId="9" borderId="11" xfId="0" applyFont="1" applyFill="1" applyBorder="1" applyAlignment="1">
      <alignment horizontal="right" vertical="center" wrapText="1"/>
    </xf>
    <xf numFmtId="167" fontId="29" fillId="4" borderId="1" xfId="0" applyNumberFormat="1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right"/>
    </xf>
    <xf numFmtId="0" fontId="29" fillId="0" borderId="15" xfId="0" applyFont="1" applyFill="1" applyBorder="1" applyAlignment="1">
      <alignment horizontal="right"/>
    </xf>
    <xf numFmtId="0" fontId="29" fillId="0" borderId="25" xfId="0" applyFont="1" applyFill="1" applyBorder="1" applyAlignment="1">
      <alignment horizontal="right"/>
    </xf>
    <xf numFmtId="0" fontId="29" fillId="0" borderId="10" xfId="0" applyFont="1" applyFill="1" applyBorder="1" applyAlignment="1">
      <alignment horizontal="right" vertical="center" wrapText="1"/>
    </xf>
    <xf numFmtId="0" fontId="29" fillId="0" borderId="18" xfId="0" applyFont="1" applyFill="1" applyBorder="1" applyAlignment="1">
      <alignment horizontal="right" vertical="center" wrapText="1"/>
    </xf>
    <xf numFmtId="0" fontId="29" fillId="0" borderId="16" xfId="0" applyFont="1" applyFill="1" applyBorder="1" applyAlignment="1">
      <alignment horizontal="right" vertical="center" wrapText="1"/>
    </xf>
    <xf numFmtId="10" fontId="29" fillId="0" borderId="10" xfId="0" applyNumberFormat="1" applyFont="1" applyFill="1" applyBorder="1" applyAlignment="1">
      <alignment horizontal="right" vertical="center"/>
    </xf>
    <xf numFmtId="10" fontId="29" fillId="0" borderId="16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4" fontId="29" fillId="4" borderId="12" xfId="0" applyNumberFormat="1" applyFont="1" applyFill="1" applyBorder="1" applyAlignment="1">
      <alignment horizontal="center" vertical="center" wrapText="1"/>
    </xf>
    <xf numFmtId="4" fontId="29" fillId="4" borderId="15" xfId="0" applyNumberFormat="1" applyFont="1" applyFill="1" applyBorder="1" applyAlignment="1">
      <alignment horizontal="center" vertical="center" wrapText="1"/>
    </xf>
    <xf numFmtId="4" fontId="29" fillId="4" borderId="9" xfId="0" applyNumberFormat="1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16" fillId="0" borderId="24" xfId="0" applyFont="1" applyBorder="1" applyAlignment="1">
      <alignment horizontal="center"/>
    </xf>
    <xf numFmtId="10" fontId="13" fillId="0" borderId="5" xfId="0" applyNumberFormat="1" applyFont="1" applyBorder="1" applyAlignment="1">
      <alignment horizontal="center" vertical="center"/>
    </xf>
    <xf numFmtId="10" fontId="13" fillId="0" borderId="4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19" xfId="0" applyBorder="1" applyAlignment="1">
      <alignment wrapText="1"/>
    </xf>
    <xf numFmtId="4" fontId="5" fillId="0" borderId="13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5" fontId="13" fillId="0" borderId="4" xfId="34" applyNumberFormat="1" applyFont="1" applyFill="1" applyBorder="1" applyAlignment="1">
      <alignment horizontal="center" vertical="center"/>
    </xf>
    <xf numFmtId="165" fontId="13" fillId="0" borderId="7" xfId="34" applyNumberFormat="1" applyFont="1" applyFill="1" applyBorder="1" applyAlignment="1">
      <alignment horizontal="center" vertical="center"/>
    </xf>
    <xf numFmtId="4" fontId="15" fillId="0" borderId="13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4" fillId="0" borderId="2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0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4" fontId="13" fillId="0" borderId="7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65" fontId="13" fillId="0" borderId="5" xfId="34" applyNumberFormat="1" applyFont="1" applyFill="1" applyBorder="1" applyAlignment="1">
      <alignment horizontal="center" vertical="center"/>
    </xf>
    <xf numFmtId="10" fontId="13" fillId="0" borderId="1" xfId="34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0" fillId="10" borderId="1" xfId="22" applyFont="1" applyFill="1" applyBorder="1" applyAlignment="1">
      <alignment horizontal="center" vertical="center"/>
    </xf>
    <xf numFmtId="0" fontId="34" fillId="0" borderId="0" xfId="22" applyFont="1" applyAlignment="1">
      <alignment horizontal="left"/>
    </xf>
    <xf numFmtId="0" fontId="30" fillId="10" borderId="1" xfId="22" applyFont="1" applyFill="1" applyBorder="1" applyAlignment="1">
      <alignment horizontal="center"/>
    </xf>
    <xf numFmtId="0" fontId="3" fillId="0" borderId="12" xfId="22" applyFont="1" applyBorder="1" applyAlignment="1">
      <alignment horizontal="center" vertical="center" wrapText="1"/>
    </xf>
    <xf numFmtId="0" fontId="33" fillId="0" borderId="15" xfId="22" applyFont="1" applyBorder="1" applyAlignment="1">
      <alignment horizontal="center" vertical="center" wrapText="1"/>
    </xf>
    <xf numFmtId="0" fontId="33" fillId="0" borderId="9" xfId="22" applyFont="1" applyBorder="1" applyAlignment="1">
      <alignment horizontal="center" vertical="center" wrapText="1"/>
    </xf>
    <xf numFmtId="0" fontId="33" fillId="0" borderId="6" xfId="22" applyFont="1" applyBorder="1" applyAlignment="1">
      <alignment horizontal="center" vertical="center" wrapText="1"/>
    </xf>
    <xf numFmtId="0" fontId="33" fillId="0" borderId="0" xfId="22" applyFont="1" applyAlignment="1">
      <alignment horizontal="center" vertical="center" wrapText="1"/>
    </xf>
    <xf numFmtId="0" fontId="33" fillId="0" borderId="11" xfId="22" applyFont="1" applyBorder="1" applyAlignment="1">
      <alignment horizontal="center" vertical="center" wrapText="1"/>
    </xf>
    <xf numFmtId="0" fontId="4" fillId="0" borderId="6" xfId="22" applyFont="1" applyBorder="1" applyAlignment="1">
      <alignment horizontal="center" vertical="center" wrapText="1"/>
    </xf>
    <xf numFmtId="0" fontId="4" fillId="0" borderId="0" xfId="22" applyFont="1" applyBorder="1" applyAlignment="1">
      <alignment horizontal="center" vertical="center" wrapText="1"/>
    </xf>
    <xf numFmtId="0" fontId="4" fillId="0" borderId="11" xfId="22" applyFont="1" applyBorder="1" applyAlignment="1">
      <alignment horizontal="center" vertical="center" wrapText="1"/>
    </xf>
    <xf numFmtId="0" fontId="4" fillId="0" borderId="6" xfId="22" applyFont="1" applyBorder="1" applyAlignment="1">
      <alignment horizontal="right" vertical="center" wrapText="1"/>
    </xf>
    <xf numFmtId="0" fontId="4" fillId="0" borderId="0" xfId="22" applyFont="1" applyBorder="1" applyAlignment="1">
      <alignment horizontal="right" vertical="center" wrapText="1"/>
    </xf>
    <xf numFmtId="0" fontId="4" fillId="0" borderId="11" xfId="22" applyFont="1" applyBorder="1" applyAlignment="1">
      <alignment horizontal="right" vertical="center" wrapText="1"/>
    </xf>
    <xf numFmtId="0" fontId="4" fillId="0" borderId="0" xfId="22" applyFont="1" applyAlignment="1">
      <alignment horizontal="center" vertical="center" wrapText="1"/>
    </xf>
    <xf numFmtId="0" fontId="5" fillId="4" borderId="8" xfId="22" applyFont="1" applyFill="1" applyBorder="1" applyAlignment="1">
      <alignment horizontal="left" vertical="center" wrapText="1"/>
    </xf>
    <xf numFmtId="0" fontId="5" fillId="4" borderId="3" xfId="22" applyFont="1" applyFill="1" applyBorder="1" applyAlignment="1">
      <alignment horizontal="left" vertical="center" wrapText="1"/>
    </xf>
    <xf numFmtId="0" fontId="5" fillId="4" borderId="20" xfId="22" applyFont="1" applyFill="1" applyBorder="1" applyAlignment="1">
      <alignment horizontal="left" vertical="center" wrapText="1"/>
    </xf>
    <xf numFmtId="0" fontId="31" fillId="0" borderId="1" xfId="22" applyFont="1" applyBorder="1" applyAlignment="1">
      <alignment horizontal="center" vertical="center"/>
    </xf>
    <xf numFmtId="10" fontId="30" fillId="10" borderId="1" xfId="34" applyNumberFormat="1" applyFont="1" applyFill="1" applyBorder="1" applyAlignment="1">
      <alignment horizontal="center"/>
    </xf>
    <xf numFmtId="0" fontId="38" fillId="0" borderId="29" xfId="22" applyFont="1" applyBorder="1" applyAlignment="1">
      <alignment horizontal="right" vertical="top" wrapText="1"/>
    </xf>
    <xf numFmtId="0" fontId="38" fillId="0" borderId="30" xfId="22" applyFont="1" applyBorder="1" applyAlignment="1">
      <alignment horizontal="right" vertical="top" wrapText="1"/>
    </xf>
    <xf numFmtId="0" fontId="35" fillId="0" borderId="10" xfId="22" applyFont="1" applyBorder="1" applyAlignment="1">
      <alignment horizontal="center" vertical="top" wrapText="1"/>
    </xf>
    <xf numFmtId="0" fontId="35" fillId="0" borderId="18" xfId="22" applyFont="1" applyBorder="1" applyAlignment="1">
      <alignment horizontal="center" vertical="top" wrapText="1"/>
    </xf>
    <xf numFmtId="0" fontId="35" fillId="0" borderId="16" xfId="22" applyFont="1" applyBorder="1" applyAlignment="1">
      <alignment horizontal="center" vertical="top" wrapText="1"/>
    </xf>
    <xf numFmtId="0" fontId="38" fillId="0" borderId="10" xfId="22" applyFont="1" applyBorder="1" applyAlignment="1">
      <alignment horizontal="center" vertical="top" wrapText="1"/>
    </xf>
    <xf numFmtId="0" fontId="38" fillId="0" borderId="18" xfId="22" applyFont="1" applyBorder="1" applyAlignment="1">
      <alignment horizontal="center" vertical="top" wrapText="1"/>
    </xf>
    <xf numFmtId="0" fontId="38" fillId="0" borderId="16" xfId="22" applyFont="1" applyBorder="1" applyAlignment="1">
      <alignment horizontal="center" vertical="top" wrapText="1"/>
    </xf>
    <xf numFmtId="0" fontId="38" fillId="0" borderId="10" xfId="22" applyFont="1" applyBorder="1" applyAlignment="1">
      <alignment horizontal="left" vertical="top" wrapText="1" indent="11"/>
    </xf>
    <xf numFmtId="0" fontId="38" fillId="0" borderId="16" xfId="22" applyFont="1" applyBorder="1" applyAlignment="1">
      <alignment horizontal="left" vertical="top" wrapText="1" indent="11"/>
    </xf>
    <xf numFmtId="0" fontId="16" fillId="0" borderId="29" xfId="22" applyFont="1" applyBorder="1" applyAlignment="1">
      <alignment horizontal="right" vertical="top" wrapText="1"/>
    </xf>
    <xf numFmtId="0" fontId="16" fillId="0" borderId="30" xfId="22" applyFont="1" applyBorder="1" applyAlignment="1">
      <alignment horizontal="right" vertical="top" wrapText="1"/>
    </xf>
    <xf numFmtId="0" fontId="38" fillId="0" borderId="29" xfId="22" applyFont="1" applyBorder="1" applyAlignment="1">
      <alignment horizontal="center" vertical="top" wrapText="1"/>
    </xf>
    <xf numFmtId="0" fontId="38" fillId="0" borderId="30" xfId="22" applyFont="1" applyBorder="1" applyAlignment="1">
      <alignment horizontal="center" vertical="top" wrapText="1"/>
    </xf>
    <xf numFmtId="0" fontId="6" fillId="0" borderId="29" xfId="22" applyBorder="1" applyAlignment="1">
      <alignment horizontal="left" wrapText="1"/>
    </xf>
    <xf numFmtId="0" fontId="6" fillId="0" borderId="30" xfId="22" applyBorder="1" applyAlignment="1">
      <alignment horizontal="left" wrapText="1"/>
    </xf>
    <xf numFmtId="0" fontId="6" fillId="0" borderId="31" xfId="22" applyBorder="1" applyAlignment="1">
      <alignment horizontal="left" wrapText="1"/>
    </xf>
    <xf numFmtId="0" fontId="6" fillId="0" borderId="29" xfId="22" applyBorder="1" applyAlignment="1">
      <alignment horizontal="left" vertical="top" wrapText="1"/>
    </xf>
    <xf numFmtId="0" fontId="6" fillId="0" borderId="30" xfId="22" applyBorder="1" applyAlignment="1">
      <alignment horizontal="left" vertical="top" wrapText="1"/>
    </xf>
  </cellXfs>
  <cellStyles count="65">
    <cellStyle name="Cancel" xfId="1" xr:uid="{00000000-0005-0000-0000-000000000000}"/>
    <cellStyle name="Cancel 2" xfId="2" xr:uid="{00000000-0005-0000-0000-000001000000}"/>
    <cellStyle name="Excel Built-in Normal" xfId="3" xr:uid="{00000000-0005-0000-0000-000002000000}"/>
    <cellStyle name="Hiperlink 2" xfId="4" xr:uid="{00000000-0005-0000-0000-000003000000}"/>
    <cellStyle name="Hiperlink 3" xfId="5" xr:uid="{00000000-0005-0000-0000-000004000000}"/>
    <cellStyle name="Moeda 2" xfId="6" xr:uid="{00000000-0005-0000-0000-000005000000}"/>
    <cellStyle name="Moeda 2 2" xfId="7" xr:uid="{00000000-0005-0000-0000-000006000000}"/>
    <cellStyle name="Moeda 2 2 2" xfId="8" xr:uid="{00000000-0005-0000-0000-000007000000}"/>
    <cellStyle name="Moeda 2 3" xfId="9" xr:uid="{00000000-0005-0000-0000-000008000000}"/>
    <cellStyle name="Moeda 3" xfId="10" xr:uid="{00000000-0005-0000-0000-000009000000}"/>
    <cellStyle name="Moeda 3 2" xfId="11" xr:uid="{00000000-0005-0000-0000-00000A000000}"/>
    <cellStyle name="Moeda 3 2 2" xfId="12" xr:uid="{00000000-0005-0000-0000-00000B000000}"/>
    <cellStyle name="Moeda 3 2 3" xfId="13" xr:uid="{00000000-0005-0000-0000-00000C000000}"/>
    <cellStyle name="Moeda 3 3" xfId="14" xr:uid="{00000000-0005-0000-0000-00000D000000}"/>
    <cellStyle name="Moeda 4" xfId="15" xr:uid="{00000000-0005-0000-0000-00000E000000}"/>
    <cellStyle name="Moeda 4 2" xfId="16" xr:uid="{00000000-0005-0000-0000-00000F000000}"/>
    <cellStyle name="Moeda 5" xfId="17" xr:uid="{00000000-0005-0000-0000-000010000000}"/>
    <cellStyle name="Moeda 6" xfId="18" xr:uid="{00000000-0005-0000-0000-000011000000}"/>
    <cellStyle name="Moeda 7" xfId="19" xr:uid="{00000000-0005-0000-0000-000012000000}"/>
    <cellStyle name="Moeda 8" xfId="20" xr:uid="{00000000-0005-0000-0000-000013000000}"/>
    <cellStyle name="Normal" xfId="0" builtinId="0"/>
    <cellStyle name="Normal 2" xfId="21" xr:uid="{00000000-0005-0000-0000-000015000000}"/>
    <cellStyle name="Normal 2 2" xfId="22" xr:uid="{00000000-0005-0000-0000-000016000000}"/>
    <cellStyle name="Normal 2 2 2" xfId="23" xr:uid="{00000000-0005-0000-0000-000017000000}"/>
    <cellStyle name="Normal 2 2 2 2" xfId="24" xr:uid="{00000000-0005-0000-0000-000018000000}"/>
    <cellStyle name="Normal 2 2 3" xfId="25" xr:uid="{00000000-0005-0000-0000-000019000000}"/>
    <cellStyle name="Normal 2 3" xfId="26" xr:uid="{00000000-0005-0000-0000-00001A000000}"/>
    <cellStyle name="Normal 2 4" xfId="27" xr:uid="{00000000-0005-0000-0000-00001B000000}"/>
    <cellStyle name="Normal 2 5" xfId="28" xr:uid="{00000000-0005-0000-0000-00001C000000}"/>
    <cellStyle name="Normal 3" xfId="29" xr:uid="{00000000-0005-0000-0000-00001D000000}"/>
    <cellStyle name="Normal 3 2" xfId="30" xr:uid="{00000000-0005-0000-0000-00001E000000}"/>
    <cellStyle name="Normal 4" xfId="31" xr:uid="{00000000-0005-0000-0000-00001F000000}"/>
    <cellStyle name="Normal 5" xfId="32" xr:uid="{00000000-0005-0000-0000-000020000000}"/>
    <cellStyle name="Normal 6" xfId="33" xr:uid="{00000000-0005-0000-0000-000021000000}"/>
    <cellStyle name="Porcentagem" xfId="64" builtinId="5"/>
    <cellStyle name="Porcentagem 2" xfId="34" xr:uid="{00000000-0005-0000-0000-000023000000}"/>
    <cellStyle name="Porcentagem 2 2" xfId="35" xr:uid="{00000000-0005-0000-0000-000024000000}"/>
    <cellStyle name="Porcentagem 2 3" xfId="36" xr:uid="{00000000-0005-0000-0000-000025000000}"/>
    <cellStyle name="Porcentagem 2 4" xfId="37" xr:uid="{00000000-0005-0000-0000-000026000000}"/>
    <cellStyle name="Porcentagem 3" xfId="38" xr:uid="{00000000-0005-0000-0000-000027000000}"/>
    <cellStyle name="Porcentagem 3 2" xfId="39" xr:uid="{00000000-0005-0000-0000-000028000000}"/>
    <cellStyle name="Porcentagem 3 2 2" xfId="40" xr:uid="{00000000-0005-0000-0000-000029000000}"/>
    <cellStyle name="Porcentagem 3 3" xfId="41" xr:uid="{00000000-0005-0000-0000-00002A000000}"/>
    <cellStyle name="Porcentagem 4" xfId="42" xr:uid="{00000000-0005-0000-0000-00002B000000}"/>
    <cellStyle name="Porcentagem 5" xfId="43" xr:uid="{00000000-0005-0000-0000-00002C000000}"/>
    <cellStyle name="Separador de milhares 2" xfId="45" xr:uid="{00000000-0005-0000-0000-00002D000000}"/>
    <cellStyle name="Separador de milhares 2 2" xfId="46" xr:uid="{00000000-0005-0000-0000-00002E000000}"/>
    <cellStyle name="Separador de milhares 2 3" xfId="47" xr:uid="{00000000-0005-0000-0000-00002F000000}"/>
    <cellStyle name="Separador de milhares 2 4" xfId="48" xr:uid="{00000000-0005-0000-0000-000030000000}"/>
    <cellStyle name="Separador de milhares 3" xfId="49" xr:uid="{00000000-0005-0000-0000-000031000000}"/>
    <cellStyle name="Vírgula" xfId="44" builtinId="3"/>
    <cellStyle name="Vírgula 2" xfId="50" xr:uid="{00000000-0005-0000-0000-000033000000}"/>
    <cellStyle name="Vírgula 2 2" xfId="51" xr:uid="{00000000-0005-0000-0000-000034000000}"/>
    <cellStyle name="Vírgula 2 2 2" xfId="52" xr:uid="{00000000-0005-0000-0000-000035000000}"/>
    <cellStyle name="Vírgula 2 3" xfId="53" xr:uid="{00000000-0005-0000-0000-000036000000}"/>
    <cellStyle name="Vírgula 3" xfId="54" xr:uid="{00000000-0005-0000-0000-000037000000}"/>
    <cellStyle name="Vírgula 3 2" xfId="55" xr:uid="{00000000-0005-0000-0000-000038000000}"/>
    <cellStyle name="Vírgula 3 2 2" xfId="56" xr:uid="{00000000-0005-0000-0000-000039000000}"/>
    <cellStyle name="Vírgula 3 3" xfId="57" xr:uid="{00000000-0005-0000-0000-00003A000000}"/>
    <cellStyle name="Vírgula 4" xfId="58" xr:uid="{00000000-0005-0000-0000-00003B000000}"/>
    <cellStyle name="Vírgula 4 2" xfId="59" xr:uid="{00000000-0005-0000-0000-00003C000000}"/>
    <cellStyle name="Vírgula 4 2 2" xfId="60" xr:uid="{00000000-0005-0000-0000-00003D000000}"/>
    <cellStyle name="Vírgula 4 3" xfId="61" xr:uid="{00000000-0005-0000-0000-00003E000000}"/>
    <cellStyle name="Vírgula 5" xfId="62" xr:uid="{00000000-0005-0000-0000-00003F000000}"/>
    <cellStyle name="Vírgula 6" xfId="63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152400</xdr:rowOff>
    </xdr:from>
    <xdr:to>
      <xdr:col>2</xdr:col>
      <xdr:colOff>869798</xdr:colOff>
      <xdr:row>8</xdr:row>
      <xdr:rowOff>38100</xdr:rowOff>
    </xdr:to>
    <xdr:pic>
      <xdr:nvPicPr>
        <xdr:cNvPr id="24641" name="Picture 29" descr="Brasão">
          <a:extLst>
            <a:ext uri="{FF2B5EF4-FFF2-40B4-BE49-F238E27FC236}">
              <a16:creationId xmlns:a16="http://schemas.microsoft.com/office/drawing/2014/main" id="{00000000-0008-0000-0000-00004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38126" y="285750"/>
          <a:ext cx="1355572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552450</xdr:colOff>
      <xdr:row>5</xdr:row>
      <xdr:rowOff>8844</xdr:rowOff>
    </xdr:to>
    <xdr:pic>
      <xdr:nvPicPr>
        <xdr:cNvPr id="2" name="Picture 29" descr="Brasã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76200"/>
          <a:ext cx="1152525" cy="1085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238125</xdr:rowOff>
    </xdr:from>
    <xdr:to>
      <xdr:col>1</xdr:col>
      <xdr:colOff>606767</xdr:colOff>
      <xdr:row>6</xdr:row>
      <xdr:rowOff>142875</xdr:rowOff>
    </xdr:to>
    <xdr:pic>
      <xdr:nvPicPr>
        <xdr:cNvPr id="2" name="Picture 29" descr="Brasão">
          <a:extLst>
            <a:ext uri="{FF2B5EF4-FFF2-40B4-BE49-F238E27FC236}">
              <a16:creationId xmlns:a16="http://schemas.microsoft.com/office/drawing/2014/main" id="{CEC5BA4B-D89A-47AE-9B56-4B62B9AE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66725"/>
          <a:ext cx="112111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65118</xdr:colOff>
      <xdr:row>0</xdr:row>
      <xdr:rowOff>28575</xdr:rowOff>
    </xdr:from>
    <xdr:to>
      <xdr:col>0</xdr:col>
      <xdr:colOff>1219200</xdr:colOff>
      <xdr:row>0</xdr:row>
      <xdr:rowOff>1220770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3D3C8960-472B-4ADD-AEE4-F096F3E70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18" y="28575"/>
          <a:ext cx="1154082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20</xdr:row>
      <xdr:rowOff>143715</xdr:rowOff>
    </xdr:from>
    <xdr:to>
      <xdr:col>0</xdr:col>
      <xdr:colOff>1016678</xdr:colOff>
      <xdr:row>20</xdr:row>
      <xdr:rowOff>424893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7689771C-C5A3-4D1F-BE25-CC506C45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58" y="4239465"/>
          <a:ext cx="282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Q94"/>
  <sheetViews>
    <sheetView tabSelected="1" view="pageBreakPreview" topLeftCell="A6" zoomScale="85" zoomScaleNormal="85" zoomScaleSheetLayoutView="85" workbookViewId="0">
      <selection activeCell="I21" sqref="I21"/>
    </sheetView>
  </sheetViews>
  <sheetFormatPr defaultRowHeight="12.75"/>
  <cols>
    <col min="1" max="1" width="3.5703125" customWidth="1"/>
    <col min="2" max="2" width="7.28515625" customWidth="1"/>
    <col min="3" max="3" width="63" customWidth="1"/>
    <col min="4" max="4" width="5" style="3" customWidth="1"/>
    <col min="5" max="5" width="12.85546875" style="4" hidden="1" customWidth="1"/>
    <col min="6" max="6" width="8.140625" style="4" bestFit="1" customWidth="1"/>
    <col min="7" max="7" width="10" style="5" customWidth="1"/>
    <col min="8" max="8" width="10.85546875" customWidth="1"/>
    <col min="9" max="9" width="11" bestFit="1" customWidth="1"/>
    <col min="10" max="10" width="8.28515625" hidden="1" customWidth="1"/>
    <col min="11" max="12" width="12.140625" hidden="1" customWidth="1"/>
    <col min="13" max="13" width="12.5703125" customWidth="1"/>
    <col min="14" max="14" width="10.140625" style="8" bestFit="1" customWidth="1"/>
    <col min="15" max="15" width="11.5703125" bestFit="1" customWidth="1"/>
  </cols>
  <sheetData>
    <row r="1" spans="2:17" ht="5.25" customHeight="1"/>
    <row r="2" spans="2:17" s="1" customFormat="1" ht="5.25" customHeight="1">
      <c r="B2" s="198"/>
      <c r="C2" s="199"/>
      <c r="D2" s="199"/>
      <c r="E2" s="199"/>
      <c r="F2" s="199"/>
      <c r="G2" s="199"/>
      <c r="H2" s="199"/>
      <c r="I2" s="200"/>
      <c r="J2" s="55"/>
      <c r="K2" s="55"/>
      <c r="L2" s="35"/>
      <c r="N2" s="6"/>
    </row>
    <row r="3" spans="2:17" s="1" customFormat="1" ht="20.25" customHeight="1">
      <c r="B3" s="179" t="s">
        <v>27</v>
      </c>
      <c r="C3" s="180"/>
      <c r="D3" s="180"/>
      <c r="E3" s="180"/>
      <c r="F3" s="180"/>
      <c r="G3" s="180"/>
      <c r="H3" s="180"/>
      <c r="I3" s="181"/>
      <c r="J3" s="52"/>
      <c r="K3" s="52"/>
      <c r="L3" s="43"/>
      <c r="N3" s="6"/>
    </row>
    <row r="4" spans="2:17" s="1" customFormat="1" ht="2.25" customHeight="1">
      <c r="B4" s="57"/>
      <c r="C4" s="52"/>
      <c r="D4" s="52"/>
      <c r="E4" s="52"/>
      <c r="F4" s="52"/>
      <c r="G4" s="52"/>
      <c r="H4" s="52"/>
      <c r="I4" s="58"/>
      <c r="J4" s="52"/>
      <c r="K4" s="52"/>
      <c r="L4" s="43"/>
      <c r="N4" s="6"/>
    </row>
    <row r="5" spans="2:17" s="1" customFormat="1" ht="15" customHeight="1">
      <c r="B5" s="213" t="s">
        <v>315</v>
      </c>
      <c r="C5" s="214"/>
      <c r="D5" s="214"/>
      <c r="E5" s="214"/>
      <c r="F5" s="214"/>
      <c r="G5" s="214"/>
      <c r="H5" s="214"/>
      <c r="I5" s="215"/>
      <c r="J5" s="53"/>
      <c r="K5" s="53"/>
      <c r="L5" s="43"/>
      <c r="N5" s="6"/>
    </row>
    <row r="6" spans="2:17" s="1" customFormat="1" ht="42" customHeight="1">
      <c r="B6" s="213" t="s">
        <v>174</v>
      </c>
      <c r="C6" s="214"/>
      <c r="D6" s="214"/>
      <c r="E6" s="214"/>
      <c r="F6" s="214"/>
      <c r="G6" s="214"/>
      <c r="H6" s="214"/>
      <c r="I6" s="215"/>
      <c r="J6" s="54"/>
      <c r="K6" s="54"/>
      <c r="L6" s="9"/>
      <c r="N6" s="6"/>
    </row>
    <row r="7" spans="2:17" s="1" customFormat="1" ht="17.25" customHeight="1">
      <c r="B7" s="182" t="s">
        <v>34</v>
      </c>
      <c r="C7" s="183"/>
      <c r="D7" s="183"/>
      <c r="E7" s="183"/>
      <c r="F7" s="183"/>
      <c r="G7" s="183"/>
      <c r="H7" s="184" t="s">
        <v>26</v>
      </c>
      <c r="I7" s="185"/>
      <c r="J7" s="155" t="s">
        <v>26</v>
      </c>
      <c r="K7" s="155"/>
      <c r="L7" s="43"/>
      <c r="N7" s="6"/>
    </row>
    <row r="8" spans="2:17" s="1" customFormat="1" ht="12.75" customHeight="1">
      <c r="B8" s="159" t="s">
        <v>308</v>
      </c>
      <c r="C8" s="160"/>
      <c r="D8" s="160"/>
      <c r="E8" s="160"/>
      <c r="F8" s="160"/>
      <c r="G8" s="160"/>
      <c r="H8" s="160"/>
      <c r="I8" s="161"/>
      <c r="J8" s="155" t="s">
        <v>26</v>
      </c>
      <c r="K8" s="155"/>
      <c r="L8" s="43"/>
      <c r="N8" s="6"/>
    </row>
    <row r="9" spans="2:17" s="1" customFormat="1" ht="5.25" customHeight="1">
      <c r="B9" s="156"/>
      <c r="C9" s="157"/>
      <c r="D9" s="157"/>
      <c r="E9" s="157"/>
      <c r="F9" s="157"/>
      <c r="G9" s="157"/>
      <c r="H9" s="157"/>
      <c r="I9" s="158"/>
      <c r="J9" s="42"/>
      <c r="K9" s="34"/>
      <c r="L9" s="34"/>
      <c r="N9" s="6"/>
    </row>
    <row r="10" spans="2:17" s="1" customFormat="1" ht="15" customHeight="1">
      <c r="B10" s="163" t="s">
        <v>172</v>
      </c>
      <c r="C10" s="164"/>
      <c r="D10" s="164"/>
      <c r="E10" s="164"/>
      <c r="F10" s="164"/>
      <c r="G10" s="164"/>
      <c r="H10" s="165" t="s">
        <v>173</v>
      </c>
      <c r="I10" s="166"/>
      <c r="J10" s="162" t="s">
        <v>23</v>
      </c>
      <c r="K10" s="162"/>
      <c r="L10" s="36"/>
      <c r="N10" s="6"/>
    </row>
    <row r="11" spans="2:17" s="1" customFormat="1" ht="1.5" customHeight="1">
      <c r="B11" s="201"/>
      <c r="C11" s="202"/>
      <c r="D11" s="202"/>
      <c r="E11" s="202"/>
      <c r="F11" s="202"/>
      <c r="G11" s="203"/>
      <c r="H11" s="203"/>
      <c r="I11" s="204"/>
      <c r="J11" s="43"/>
      <c r="K11" s="43"/>
      <c r="L11" s="43"/>
      <c r="N11" s="6"/>
    </row>
    <row r="12" spans="2:17" s="1" customFormat="1">
      <c r="B12" s="167" t="s">
        <v>0</v>
      </c>
      <c r="C12" s="176" t="s">
        <v>1</v>
      </c>
      <c r="D12" s="176" t="s">
        <v>2</v>
      </c>
      <c r="E12" s="167" t="s">
        <v>176</v>
      </c>
      <c r="F12" s="186" t="s">
        <v>20</v>
      </c>
      <c r="G12" s="207" t="s">
        <v>19</v>
      </c>
      <c r="H12" s="208"/>
      <c r="I12" s="209"/>
      <c r="J12" s="175">
        <v>42933</v>
      </c>
      <c r="K12" s="175"/>
      <c r="L12" s="110"/>
      <c r="N12" s="6"/>
    </row>
    <row r="13" spans="2:17" s="1" customFormat="1" ht="15" customHeight="1">
      <c r="B13" s="205"/>
      <c r="C13" s="176"/>
      <c r="D13" s="176"/>
      <c r="E13" s="168"/>
      <c r="F13" s="186"/>
      <c r="G13" s="210"/>
      <c r="H13" s="211"/>
      <c r="I13" s="212"/>
      <c r="J13" s="177" t="s">
        <v>52</v>
      </c>
      <c r="K13" s="177"/>
      <c r="L13" s="111"/>
      <c r="N13" s="6"/>
    </row>
    <row r="14" spans="2:17" s="2" customFormat="1" ht="12.75" customHeight="1">
      <c r="B14" s="206"/>
      <c r="C14" s="176"/>
      <c r="D14" s="176"/>
      <c r="E14" s="169"/>
      <c r="F14" s="186"/>
      <c r="G14" s="73" t="s">
        <v>3</v>
      </c>
      <c r="H14" s="73" t="s">
        <v>16</v>
      </c>
      <c r="I14" s="73" t="s">
        <v>17</v>
      </c>
      <c r="J14" s="112" t="s">
        <v>8</v>
      </c>
      <c r="K14" s="74" t="s">
        <v>21</v>
      </c>
      <c r="L14" s="111"/>
      <c r="M14" s="7"/>
      <c r="N14" s="7"/>
    </row>
    <row r="15" spans="2:17" s="1" customFormat="1" ht="14.25">
      <c r="B15" s="75">
        <v>1</v>
      </c>
      <c r="C15" s="76" t="s">
        <v>187</v>
      </c>
      <c r="D15" s="77"/>
      <c r="E15" s="78"/>
      <c r="F15" s="79"/>
      <c r="G15" s="80"/>
      <c r="H15" s="81">
        <v>0.27629999999999999</v>
      </c>
      <c r="I15" s="82"/>
      <c r="J15" s="178" t="s">
        <v>22</v>
      </c>
      <c r="K15" s="178"/>
      <c r="L15" s="83"/>
      <c r="N15" s="170"/>
      <c r="O15" s="170"/>
      <c r="P15" s="170"/>
      <c r="Q15" s="39"/>
    </row>
    <row r="16" spans="2:17" s="2" customFormat="1" ht="25.5">
      <c r="B16" s="90" t="s">
        <v>29</v>
      </c>
      <c r="C16" s="90" t="s">
        <v>175</v>
      </c>
      <c r="D16" s="99" t="s">
        <v>182</v>
      </c>
      <c r="E16" s="100" t="s">
        <v>25</v>
      </c>
      <c r="F16" s="101">
        <v>6</v>
      </c>
      <c r="G16" s="92">
        <v>572.52</v>
      </c>
      <c r="H16" s="102">
        <f>TRUNC(G16*$H$15+G16,2)</f>
        <v>730.7</v>
      </c>
      <c r="I16" s="102">
        <f>TRUNC(H16*F16,2)</f>
        <v>4384.2</v>
      </c>
      <c r="J16" s="84">
        <v>0</v>
      </c>
      <c r="K16" s="85" t="e">
        <f>(J16*#REF!)</f>
        <v>#REF!</v>
      </c>
      <c r="L16" s="86">
        <f t="shared" ref="L16:L79" si="0">I16/$I$83</f>
        <v>3.7798640035244933E-2</v>
      </c>
      <c r="N16" s="170"/>
      <c r="O16" s="170"/>
      <c r="P16" s="170"/>
      <c r="Q16" s="39"/>
    </row>
    <row r="17" spans="2:17" s="2" customFormat="1" ht="25.5">
      <c r="B17" s="90" t="s">
        <v>177</v>
      </c>
      <c r="C17" s="90" t="s">
        <v>181</v>
      </c>
      <c r="D17" s="99" t="s">
        <v>43</v>
      </c>
      <c r="E17" s="100" t="s">
        <v>25</v>
      </c>
      <c r="F17" s="101">
        <v>4</v>
      </c>
      <c r="G17" s="92">
        <v>290.76</v>
      </c>
      <c r="H17" s="102">
        <f>TRUNC(G17*$H$15+G17,2)</f>
        <v>371.09</v>
      </c>
      <c r="I17" s="102">
        <f>TRUNC(H17*F17,2)</f>
        <v>1484.36</v>
      </c>
      <c r="J17" s="84"/>
      <c r="K17" s="85"/>
      <c r="L17" s="86">
        <f t="shared" si="0"/>
        <v>1.2797497678645174E-2</v>
      </c>
      <c r="N17" s="147"/>
      <c r="O17" s="147"/>
      <c r="P17" s="147"/>
      <c r="Q17" s="147"/>
    </row>
    <row r="18" spans="2:17" s="2" customFormat="1" ht="25.5">
      <c r="B18" s="90" t="s">
        <v>178</v>
      </c>
      <c r="C18" s="90" t="s">
        <v>183</v>
      </c>
      <c r="D18" s="99" t="s">
        <v>184</v>
      </c>
      <c r="E18" s="100" t="s">
        <v>25</v>
      </c>
      <c r="F18" s="101">
        <v>1</v>
      </c>
      <c r="G18" s="92">
        <v>775</v>
      </c>
      <c r="H18" s="102">
        <f>TRUNC(G18*$H$15+G18,2)</f>
        <v>989.13</v>
      </c>
      <c r="I18" s="102">
        <f>TRUNC(H18*F18,2)</f>
        <v>989.13</v>
      </c>
      <c r="J18" s="84"/>
      <c r="K18" s="85"/>
      <c r="L18" s="86">
        <f t="shared" si="0"/>
        <v>8.5278428944988421E-3</v>
      </c>
      <c r="N18" s="147"/>
      <c r="O18" s="147"/>
      <c r="P18" s="147"/>
      <c r="Q18" s="147"/>
    </row>
    <row r="19" spans="2:17" s="2" customFormat="1" ht="25.5">
      <c r="B19" s="90" t="s">
        <v>179</v>
      </c>
      <c r="C19" s="90" t="s">
        <v>185</v>
      </c>
      <c r="D19" s="99" t="s">
        <v>184</v>
      </c>
      <c r="E19" s="100" t="s">
        <v>25</v>
      </c>
      <c r="F19" s="101">
        <v>1</v>
      </c>
      <c r="G19" s="92">
        <v>9749.65</v>
      </c>
      <c r="H19" s="102">
        <f>TRUNC(G19*$H$15+G19,2)</f>
        <v>12443.47</v>
      </c>
      <c r="I19" s="102">
        <f>TRUNC(H19*F19,2)</f>
        <v>12443.47</v>
      </c>
      <c r="J19" s="84"/>
      <c r="K19" s="85"/>
      <c r="L19" s="86">
        <f t="shared" si="0"/>
        <v>0.10728211379940908</v>
      </c>
      <c r="N19" s="147"/>
      <c r="O19" s="147"/>
      <c r="P19" s="147"/>
      <c r="Q19" s="147"/>
    </row>
    <row r="20" spans="2:17" s="2" customFormat="1" ht="25.5">
      <c r="B20" s="90" t="s">
        <v>180</v>
      </c>
      <c r="C20" s="90" t="s">
        <v>186</v>
      </c>
      <c r="D20" s="99" t="s">
        <v>184</v>
      </c>
      <c r="E20" s="100" t="s">
        <v>25</v>
      </c>
      <c r="F20" s="101">
        <v>1</v>
      </c>
      <c r="G20" s="92">
        <v>24350</v>
      </c>
      <c r="H20" s="102">
        <f>TRUNC(G20*$H$15+G20,2)</f>
        <v>31077.9</v>
      </c>
      <c r="I20" s="102">
        <f>TRUNC(H20*F20,2)</f>
        <v>31077.9</v>
      </c>
      <c r="J20" s="84"/>
      <c r="K20" s="85"/>
      <c r="L20" s="86">
        <f t="shared" si="0"/>
        <v>0.26793995601280479</v>
      </c>
      <c r="N20" s="147"/>
      <c r="O20" s="147"/>
      <c r="P20" s="147"/>
      <c r="Q20" s="147"/>
    </row>
    <row r="21" spans="2:17" s="2" customFormat="1">
      <c r="B21" s="171" t="s">
        <v>5</v>
      </c>
      <c r="C21" s="172"/>
      <c r="D21" s="172"/>
      <c r="E21" s="172"/>
      <c r="F21" s="172"/>
      <c r="G21" s="173">
        <f>(100%)</f>
        <v>1</v>
      </c>
      <c r="H21" s="174"/>
      <c r="I21" s="87">
        <f>SUM(I16:I20)</f>
        <v>50379.06</v>
      </c>
      <c r="J21" s="88" t="e">
        <f>(K21/#REF!)</f>
        <v>#REF!</v>
      </c>
      <c r="K21" s="89" t="e">
        <f>SUM(K15:K16)</f>
        <v>#REF!</v>
      </c>
      <c r="L21" s="86"/>
      <c r="N21" s="7"/>
    </row>
    <row r="22" spans="2:17" s="44" customFormat="1" ht="14.25">
      <c r="B22" s="75">
        <v>2</v>
      </c>
      <c r="C22" s="76" t="s">
        <v>188</v>
      </c>
      <c r="D22" s="77"/>
      <c r="E22" s="78"/>
      <c r="F22" s="79"/>
      <c r="G22" s="80"/>
      <c r="H22" s="82"/>
      <c r="I22" s="82"/>
      <c r="J22" s="154" t="s">
        <v>22</v>
      </c>
      <c r="K22" s="154"/>
      <c r="L22" s="86"/>
      <c r="N22" s="153"/>
      <c r="O22" s="153"/>
      <c r="P22" s="153"/>
      <c r="Q22" s="45"/>
    </row>
    <row r="23" spans="2:17" s="46" customFormat="1" ht="14.25">
      <c r="B23" s="90" t="s">
        <v>30</v>
      </c>
      <c r="C23" s="90" t="s">
        <v>245</v>
      </c>
      <c r="D23" s="91" t="s">
        <v>246</v>
      </c>
      <c r="E23" s="78" t="s">
        <v>24</v>
      </c>
      <c r="F23" s="92">
        <v>29</v>
      </c>
      <c r="G23" s="92">
        <v>5.58</v>
      </c>
      <c r="H23" s="93">
        <f t="shared" ref="H23:H54" si="1">TRUNC(G23*$H$15+G23,2)</f>
        <v>7.12</v>
      </c>
      <c r="I23" s="93">
        <f t="shared" ref="I23:I54" si="2">TRUNC(H23*F23,2)</f>
        <v>206.48</v>
      </c>
      <c r="J23" s="94">
        <v>0</v>
      </c>
      <c r="K23" s="95" t="e">
        <f>(J23*#REF!)</f>
        <v>#REF!</v>
      </c>
      <c r="L23" s="86">
        <f t="shared" si="0"/>
        <v>1.7801795525928046E-3</v>
      </c>
      <c r="N23" s="153"/>
      <c r="O23" s="153"/>
      <c r="P23" s="153"/>
      <c r="Q23" s="47"/>
    </row>
    <row r="24" spans="2:17" s="46" customFormat="1" ht="14.25">
      <c r="B24" s="90" t="s">
        <v>31</v>
      </c>
      <c r="C24" s="96" t="s">
        <v>312</v>
      </c>
      <c r="D24" s="91" t="s">
        <v>246</v>
      </c>
      <c r="E24" s="78" t="s">
        <v>39</v>
      </c>
      <c r="F24" s="92">
        <v>51</v>
      </c>
      <c r="G24" s="92">
        <v>12.02</v>
      </c>
      <c r="H24" s="93">
        <f t="shared" si="1"/>
        <v>15.34</v>
      </c>
      <c r="I24" s="93">
        <f t="shared" si="2"/>
        <v>782.34</v>
      </c>
      <c r="J24" s="94"/>
      <c r="K24" s="95"/>
      <c r="L24" s="86">
        <f t="shared" si="0"/>
        <v>6.7449906585405608E-3</v>
      </c>
      <c r="N24" s="72"/>
      <c r="O24" s="72"/>
      <c r="P24" s="72"/>
      <c r="Q24" s="47"/>
    </row>
    <row r="25" spans="2:17" s="46" customFormat="1">
      <c r="B25" s="90" t="s">
        <v>32</v>
      </c>
      <c r="C25" s="96" t="s">
        <v>313</v>
      </c>
      <c r="D25" s="91" t="s">
        <v>246</v>
      </c>
      <c r="E25" s="97">
        <v>93584</v>
      </c>
      <c r="F25" s="92">
        <v>1</v>
      </c>
      <c r="G25" s="92">
        <v>17.600000000000001</v>
      </c>
      <c r="H25" s="93">
        <f t="shared" si="1"/>
        <v>22.46</v>
      </c>
      <c r="I25" s="93">
        <f t="shared" si="2"/>
        <v>22.46</v>
      </c>
      <c r="J25" s="94">
        <v>1</v>
      </c>
      <c r="K25" s="95" t="e">
        <f>(J25*#REF!)</f>
        <v>#REF!</v>
      </c>
      <c r="L25" s="86">
        <f t="shared" si="0"/>
        <v>1.9364022060845796E-4</v>
      </c>
      <c r="N25" s="48"/>
    </row>
    <row r="26" spans="2:17" s="2" customFormat="1" ht="15.75" customHeight="1">
      <c r="B26" s="90" t="s">
        <v>189</v>
      </c>
      <c r="C26" s="90" t="s">
        <v>247</v>
      </c>
      <c r="D26" s="91" t="s">
        <v>246</v>
      </c>
      <c r="E26" s="78" t="s">
        <v>24</v>
      </c>
      <c r="F26" s="92">
        <v>173</v>
      </c>
      <c r="G26" s="92">
        <v>3</v>
      </c>
      <c r="H26" s="93">
        <f t="shared" si="1"/>
        <v>3.82</v>
      </c>
      <c r="I26" s="93">
        <f t="shared" si="2"/>
        <v>660.86</v>
      </c>
      <c r="J26" s="88" t="e">
        <f>(K26/#REF!)</f>
        <v>#REF!</v>
      </c>
      <c r="K26" s="89" t="e">
        <f>SUM(K23:K25)</f>
        <v>#REF!</v>
      </c>
      <c r="L26" s="86">
        <f t="shared" si="0"/>
        <v>5.6976436416431662E-3</v>
      </c>
      <c r="N26" s="7"/>
    </row>
    <row r="27" spans="2:17" s="46" customFormat="1">
      <c r="B27" s="90" t="s">
        <v>190</v>
      </c>
      <c r="C27" s="96" t="s">
        <v>248</v>
      </c>
      <c r="D27" s="91" t="s">
        <v>246</v>
      </c>
      <c r="E27" s="78" t="s">
        <v>39</v>
      </c>
      <c r="F27" s="92">
        <v>4</v>
      </c>
      <c r="G27" s="92">
        <v>9.76</v>
      </c>
      <c r="H27" s="93">
        <f t="shared" si="1"/>
        <v>12.45</v>
      </c>
      <c r="I27" s="93">
        <f t="shared" si="2"/>
        <v>49.8</v>
      </c>
      <c r="J27" s="98"/>
      <c r="K27" s="98"/>
      <c r="L27" s="86">
        <f t="shared" si="0"/>
        <v>4.293536503250759E-4</v>
      </c>
      <c r="N27" s="48"/>
    </row>
    <row r="28" spans="2:17" s="46" customFormat="1">
      <c r="B28" s="90" t="s">
        <v>191</v>
      </c>
      <c r="C28" s="96" t="s">
        <v>249</v>
      </c>
      <c r="D28" s="91" t="s">
        <v>246</v>
      </c>
      <c r="E28" s="97">
        <v>93584</v>
      </c>
      <c r="F28" s="92">
        <v>5</v>
      </c>
      <c r="G28" s="92">
        <v>23.51</v>
      </c>
      <c r="H28" s="93">
        <f t="shared" si="1"/>
        <v>30</v>
      </c>
      <c r="I28" s="93">
        <f t="shared" si="2"/>
        <v>150</v>
      </c>
      <c r="J28" s="94">
        <v>0</v>
      </c>
      <c r="K28" s="95" t="e">
        <f>(J28*#REF!)</f>
        <v>#REF!</v>
      </c>
      <c r="L28" s="86">
        <f t="shared" si="0"/>
        <v>1.2932338865213131E-3</v>
      </c>
      <c r="N28" s="48"/>
    </row>
    <row r="29" spans="2:17" s="46" customFormat="1">
      <c r="B29" s="90" t="s">
        <v>192</v>
      </c>
      <c r="C29" s="90" t="s">
        <v>250</v>
      </c>
      <c r="D29" s="91" t="s">
        <v>246</v>
      </c>
      <c r="E29" s="78" t="s">
        <v>24</v>
      </c>
      <c r="F29" s="92">
        <v>18</v>
      </c>
      <c r="G29" s="92">
        <v>49.49</v>
      </c>
      <c r="H29" s="93">
        <f t="shared" si="1"/>
        <v>63.16</v>
      </c>
      <c r="I29" s="93">
        <f t="shared" si="2"/>
        <v>1136.8800000000001</v>
      </c>
      <c r="J29" s="94"/>
      <c r="K29" s="95"/>
      <c r="L29" s="86">
        <f t="shared" si="0"/>
        <v>9.8016782727223372E-3</v>
      </c>
      <c r="N29" s="48"/>
    </row>
    <row r="30" spans="2:17" s="46" customFormat="1">
      <c r="B30" s="90" t="s">
        <v>193</v>
      </c>
      <c r="C30" s="96" t="s">
        <v>251</v>
      </c>
      <c r="D30" s="91" t="s">
        <v>246</v>
      </c>
      <c r="E30" s="78" t="s">
        <v>39</v>
      </c>
      <c r="F30" s="92">
        <v>7</v>
      </c>
      <c r="G30" s="92">
        <v>1.73</v>
      </c>
      <c r="H30" s="93">
        <f t="shared" si="1"/>
        <v>2.2000000000000002</v>
      </c>
      <c r="I30" s="93">
        <f t="shared" si="2"/>
        <v>15.4</v>
      </c>
      <c r="J30" s="94"/>
      <c r="K30" s="95"/>
      <c r="L30" s="86">
        <f t="shared" si="0"/>
        <v>1.3277201234952147E-4</v>
      </c>
      <c r="N30" s="48"/>
    </row>
    <row r="31" spans="2:17" s="46" customFormat="1">
      <c r="B31" s="90" t="s">
        <v>194</v>
      </c>
      <c r="C31" s="96" t="s">
        <v>252</v>
      </c>
      <c r="D31" s="91" t="s">
        <v>246</v>
      </c>
      <c r="E31" s="97">
        <v>93584</v>
      </c>
      <c r="F31" s="92">
        <v>19</v>
      </c>
      <c r="G31" s="92">
        <v>2.91</v>
      </c>
      <c r="H31" s="93">
        <f t="shared" si="1"/>
        <v>3.71</v>
      </c>
      <c r="I31" s="93">
        <f t="shared" si="2"/>
        <v>70.489999999999995</v>
      </c>
      <c r="J31" s="94"/>
      <c r="K31" s="95"/>
      <c r="L31" s="86">
        <f t="shared" si="0"/>
        <v>6.0773371107258238E-4</v>
      </c>
      <c r="N31" s="48"/>
    </row>
    <row r="32" spans="2:17" s="2" customFormat="1" ht="15.75" customHeight="1">
      <c r="B32" s="90" t="s">
        <v>195</v>
      </c>
      <c r="C32" s="90" t="s">
        <v>253</v>
      </c>
      <c r="D32" s="91" t="s">
        <v>246</v>
      </c>
      <c r="E32" s="78" t="s">
        <v>24</v>
      </c>
      <c r="F32" s="92">
        <v>3</v>
      </c>
      <c r="G32" s="92">
        <v>790.5</v>
      </c>
      <c r="H32" s="93">
        <f t="shared" si="1"/>
        <v>1008.91</v>
      </c>
      <c r="I32" s="93">
        <f t="shared" si="2"/>
        <v>3026.73</v>
      </c>
      <c r="J32" s="88">
        <v>0</v>
      </c>
      <c r="K32" s="89" t="e">
        <f>SUM(K27:K28)</f>
        <v>#REF!</v>
      </c>
      <c r="L32" s="86">
        <f t="shared" si="0"/>
        <v>2.609513200900436E-2</v>
      </c>
      <c r="N32" s="7"/>
    </row>
    <row r="33" spans="2:14" s="2" customFormat="1" ht="15.75" customHeight="1">
      <c r="B33" s="90" t="s">
        <v>196</v>
      </c>
      <c r="C33" s="96" t="s">
        <v>254</v>
      </c>
      <c r="D33" s="91" t="s">
        <v>2</v>
      </c>
      <c r="E33" s="78" t="s">
        <v>39</v>
      </c>
      <c r="F33" s="92">
        <v>7</v>
      </c>
      <c r="G33" s="92">
        <v>34.869999999999997</v>
      </c>
      <c r="H33" s="93">
        <f t="shared" si="1"/>
        <v>44.5</v>
      </c>
      <c r="I33" s="93">
        <f t="shared" si="2"/>
        <v>311.5</v>
      </c>
      <c r="J33" s="88"/>
      <c r="K33" s="89"/>
      <c r="L33" s="86">
        <f t="shared" si="0"/>
        <v>2.6856157043425935E-3</v>
      </c>
      <c r="N33" s="7"/>
    </row>
    <row r="34" spans="2:14" s="2" customFormat="1">
      <c r="B34" s="90" t="s">
        <v>197</v>
      </c>
      <c r="C34" s="96" t="s">
        <v>255</v>
      </c>
      <c r="D34" s="91" t="s">
        <v>246</v>
      </c>
      <c r="E34" s="97">
        <v>93584</v>
      </c>
      <c r="F34" s="92">
        <v>3</v>
      </c>
      <c r="G34" s="92">
        <v>49.75</v>
      </c>
      <c r="H34" s="93">
        <f t="shared" si="1"/>
        <v>63.49</v>
      </c>
      <c r="I34" s="93">
        <f t="shared" si="2"/>
        <v>190.47</v>
      </c>
      <c r="J34" s="88"/>
      <c r="K34" s="89"/>
      <c r="L34" s="86">
        <f t="shared" si="0"/>
        <v>1.6421483891047633E-3</v>
      </c>
      <c r="N34" s="7"/>
    </row>
    <row r="35" spans="2:14" s="2" customFormat="1">
      <c r="B35" s="90" t="s">
        <v>198</v>
      </c>
      <c r="C35" s="90" t="s">
        <v>256</v>
      </c>
      <c r="D35" s="91" t="s">
        <v>246</v>
      </c>
      <c r="E35" s="78" t="s">
        <v>24</v>
      </c>
      <c r="F35" s="92">
        <v>6</v>
      </c>
      <c r="G35" s="92">
        <v>59.67</v>
      </c>
      <c r="H35" s="93">
        <f t="shared" si="1"/>
        <v>76.150000000000006</v>
      </c>
      <c r="I35" s="93">
        <f t="shared" si="2"/>
        <v>456.9</v>
      </c>
      <c r="J35" s="88"/>
      <c r="K35" s="89"/>
      <c r="L35" s="86">
        <f t="shared" si="0"/>
        <v>3.9391904183439198E-3</v>
      </c>
      <c r="N35" s="7"/>
    </row>
    <row r="36" spans="2:14" s="2" customFormat="1" ht="15.75" customHeight="1">
      <c r="B36" s="90" t="s">
        <v>199</v>
      </c>
      <c r="C36" s="90" t="s">
        <v>257</v>
      </c>
      <c r="D36" s="91" t="s">
        <v>246</v>
      </c>
      <c r="E36" s="78" t="s">
        <v>39</v>
      </c>
      <c r="F36" s="92">
        <v>3</v>
      </c>
      <c r="G36" s="92">
        <v>65.41</v>
      </c>
      <c r="H36" s="93">
        <f t="shared" si="1"/>
        <v>83.48</v>
      </c>
      <c r="I36" s="93">
        <f t="shared" si="2"/>
        <v>250.44</v>
      </c>
      <c r="J36" s="88"/>
      <c r="K36" s="89"/>
      <c r="L36" s="86">
        <f t="shared" si="0"/>
        <v>2.1591832969359843E-3</v>
      </c>
      <c r="N36" s="7"/>
    </row>
    <row r="37" spans="2:14" s="2" customFormat="1">
      <c r="B37" s="90" t="s">
        <v>200</v>
      </c>
      <c r="C37" s="90" t="s">
        <v>258</v>
      </c>
      <c r="D37" s="91" t="s">
        <v>246</v>
      </c>
      <c r="E37" s="97">
        <v>93584</v>
      </c>
      <c r="F37" s="92">
        <v>4</v>
      </c>
      <c r="G37" s="92">
        <v>75.17</v>
      </c>
      <c r="H37" s="93">
        <f t="shared" si="1"/>
        <v>95.93</v>
      </c>
      <c r="I37" s="93">
        <f t="shared" si="2"/>
        <v>383.72</v>
      </c>
      <c r="J37" s="88"/>
      <c r="K37" s="89"/>
      <c r="L37" s="86">
        <f t="shared" si="0"/>
        <v>3.3082647129063884E-3</v>
      </c>
      <c r="N37" s="7"/>
    </row>
    <row r="38" spans="2:14" s="2" customFormat="1">
      <c r="B38" s="90" t="s">
        <v>201</v>
      </c>
      <c r="C38" s="90" t="s">
        <v>259</v>
      </c>
      <c r="D38" s="91" t="s">
        <v>246</v>
      </c>
      <c r="E38" s="78" t="s">
        <v>24</v>
      </c>
      <c r="F38" s="92">
        <v>3</v>
      </c>
      <c r="G38" s="92">
        <v>16.3</v>
      </c>
      <c r="H38" s="93">
        <f t="shared" si="1"/>
        <v>20.8</v>
      </c>
      <c r="I38" s="93">
        <f t="shared" si="2"/>
        <v>62.4</v>
      </c>
      <c r="J38" s="88"/>
      <c r="K38" s="89"/>
      <c r="L38" s="86">
        <f t="shared" si="0"/>
        <v>5.3798529679286626E-4</v>
      </c>
      <c r="N38" s="7"/>
    </row>
    <row r="39" spans="2:14" s="2" customFormat="1">
      <c r="B39" s="90" t="s">
        <v>202</v>
      </c>
      <c r="C39" s="96" t="s">
        <v>260</v>
      </c>
      <c r="D39" s="91" t="s">
        <v>246</v>
      </c>
      <c r="E39" s="78" t="s">
        <v>39</v>
      </c>
      <c r="F39" s="92">
        <v>3</v>
      </c>
      <c r="G39" s="92">
        <v>65.41</v>
      </c>
      <c r="H39" s="93">
        <f t="shared" si="1"/>
        <v>83.48</v>
      </c>
      <c r="I39" s="93">
        <f t="shared" si="2"/>
        <v>250.44</v>
      </c>
      <c r="J39" s="88"/>
      <c r="K39" s="89"/>
      <c r="L39" s="86">
        <f t="shared" si="0"/>
        <v>2.1591832969359843E-3</v>
      </c>
      <c r="N39" s="7"/>
    </row>
    <row r="40" spans="2:14" s="2" customFormat="1">
      <c r="B40" s="90" t="s">
        <v>203</v>
      </c>
      <c r="C40" s="96" t="s">
        <v>261</v>
      </c>
      <c r="D40" s="91" t="s">
        <v>246</v>
      </c>
      <c r="E40" s="97">
        <v>93584</v>
      </c>
      <c r="F40" s="92">
        <v>19</v>
      </c>
      <c r="G40" s="92">
        <v>25.06</v>
      </c>
      <c r="H40" s="93">
        <f t="shared" si="1"/>
        <v>31.98</v>
      </c>
      <c r="I40" s="93">
        <f t="shared" si="2"/>
        <v>607.62</v>
      </c>
      <c r="J40" s="88"/>
      <c r="K40" s="89"/>
      <c r="L40" s="86">
        <f t="shared" si="0"/>
        <v>5.2386318275205353E-3</v>
      </c>
      <c r="N40" s="7"/>
    </row>
    <row r="41" spans="2:14" s="2" customFormat="1">
      <c r="B41" s="90" t="s">
        <v>204</v>
      </c>
      <c r="C41" s="90" t="s">
        <v>262</v>
      </c>
      <c r="D41" s="91" t="s">
        <v>246</v>
      </c>
      <c r="E41" s="78" t="s">
        <v>24</v>
      </c>
      <c r="F41" s="92">
        <v>1</v>
      </c>
      <c r="G41" s="92">
        <v>25.76</v>
      </c>
      <c r="H41" s="93">
        <f t="shared" si="1"/>
        <v>32.869999999999997</v>
      </c>
      <c r="I41" s="93">
        <f t="shared" si="2"/>
        <v>32.869999999999997</v>
      </c>
      <c r="J41" s="88"/>
      <c r="K41" s="89"/>
      <c r="L41" s="86">
        <f t="shared" si="0"/>
        <v>2.8339065233303704E-4</v>
      </c>
      <c r="N41" s="7"/>
    </row>
    <row r="42" spans="2:14" s="2" customFormat="1">
      <c r="B42" s="90" t="s">
        <v>205</v>
      </c>
      <c r="C42" s="96" t="s">
        <v>263</v>
      </c>
      <c r="D42" s="91" t="s">
        <v>246</v>
      </c>
      <c r="E42" s="78" t="s">
        <v>39</v>
      </c>
      <c r="F42" s="92">
        <v>6</v>
      </c>
      <c r="G42" s="92">
        <v>34.56</v>
      </c>
      <c r="H42" s="93">
        <f t="shared" si="1"/>
        <v>44.1</v>
      </c>
      <c r="I42" s="93">
        <f t="shared" si="2"/>
        <v>264.60000000000002</v>
      </c>
      <c r="J42" s="88"/>
      <c r="K42" s="89"/>
      <c r="L42" s="86">
        <f t="shared" si="0"/>
        <v>2.2812645758235966E-3</v>
      </c>
      <c r="N42" s="7"/>
    </row>
    <row r="43" spans="2:14" s="2" customFormat="1">
      <c r="B43" s="90" t="s">
        <v>206</v>
      </c>
      <c r="C43" s="96" t="s">
        <v>264</v>
      </c>
      <c r="D43" s="91" t="s">
        <v>246</v>
      </c>
      <c r="E43" s="97">
        <v>93584</v>
      </c>
      <c r="F43" s="92">
        <v>20</v>
      </c>
      <c r="G43" s="92">
        <v>7.37</v>
      </c>
      <c r="H43" s="93">
        <f t="shared" si="1"/>
        <v>9.4</v>
      </c>
      <c r="I43" s="93">
        <f t="shared" si="2"/>
        <v>188</v>
      </c>
      <c r="J43" s="88"/>
      <c r="K43" s="89"/>
      <c r="L43" s="86">
        <f t="shared" si="0"/>
        <v>1.6208531377733791E-3</v>
      </c>
      <c r="N43" s="7"/>
    </row>
    <row r="44" spans="2:14" s="2" customFormat="1">
      <c r="B44" s="90" t="s">
        <v>207</v>
      </c>
      <c r="C44" s="90" t="s">
        <v>265</v>
      </c>
      <c r="D44" s="91" t="s">
        <v>246</v>
      </c>
      <c r="E44" s="78" t="s">
        <v>24</v>
      </c>
      <c r="F44" s="92">
        <v>20</v>
      </c>
      <c r="G44" s="92">
        <v>8.33</v>
      </c>
      <c r="H44" s="93">
        <f t="shared" si="1"/>
        <v>10.63</v>
      </c>
      <c r="I44" s="93">
        <f t="shared" si="2"/>
        <v>212.6</v>
      </c>
      <c r="J44" s="88"/>
      <c r="K44" s="89"/>
      <c r="L44" s="86">
        <f t="shared" si="0"/>
        <v>1.8329434951628743E-3</v>
      </c>
      <c r="N44" s="7"/>
    </row>
    <row r="45" spans="2:14" s="2" customFormat="1">
      <c r="B45" s="90" t="s">
        <v>208</v>
      </c>
      <c r="C45" s="96" t="s">
        <v>266</v>
      </c>
      <c r="D45" s="91" t="s">
        <v>246</v>
      </c>
      <c r="E45" s="78" t="s">
        <v>39</v>
      </c>
      <c r="F45" s="92">
        <v>95</v>
      </c>
      <c r="G45" s="92">
        <v>12.71</v>
      </c>
      <c r="H45" s="93">
        <f t="shared" si="1"/>
        <v>16.22</v>
      </c>
      <c r="I45" s="93">
        <f t="shared" si="2"/>
        <v>1540.9</v>
      </c>
      <c r="J45" s="88"/>
      <c r="K45" s="89"/>
      <c r="L45" s="86">
        <f t="shared" si="0"/>
        <v>1.3284960638271276E-2</v>
      </c>
      <c r="N45" s="7"/>
    </row>
    <row r="46" spans="2:14" s="2" customFormat="1">
      <c r="B46" s="90" t="s">
        <v>209</v>
      </c>
      <c r="C46" s="96" t="s">
        <v>267</v>
      </c>
      <c r="D46" s="91" t="s">
        <v>246</v>
      </c>
      <c r="E46" s="97">
        <v>93584</v>
      </c>
      <c r="F46" s="92">
        <v>15</v>
      </c>
      <c r="G46" s="92">
        <v>20.77</v>
      </c>
      <c r="H46" s="93">
        <f t="shared" si="1"/>
        <v>26.5</v>
      </c>
      <c r="I46" s="93">
        <f t="shared" si="2"/>
        <v>397.5</v>
      </c>
      <c r="J46" s="88"/>
      <c r="K46" s="89"/>
      <c r="L46" s="86">
        <f t="shared" si="0"/>
        <v>3.4270697992814796E-3</v>
      </c>
      <c r="N46" s="7"/>
    </row>
    <row r="47" spans="2:14" s="2" customFormat="1">
      <c r="B47" s="90" t="s">
        <v>210</v>
      </c>
      <c r="C47" s="90" t="s">
        <v>268</v>
      </c>
      <c r="D47" s="91" t="s">
        <v>246</v>
      </c>
      <c r="E47" s="78" t="s">
        <v>24</v>
      </c>
      <c r="F47" s="92">
        <v>6</v>
      </c>
      <c r="G47" s="92">
        <v>31.03</v>
      </c>
      <c r="H47" s="93">
        <f t="shared" si="1"/>
        <v>39.6</v>
      </c>
      <c r="I47" s="93">
        <f t="shared" si="2"/>
        <v>237.6</v>
      </c>
      <c r="J47" s="88"/>
      <c r="K47" s="89"/>
      <c r="L47" s="86">
        <f t="shared" si="0"/>
        <v>2.04848247624976E-3</v>
      </c>
      <c r="N47" s="7"/>
    </row>
    <row r="48" spans="2:14" s="2" customFormat="1">
      <c r="B48" s="90" t="s">
        <v>211</v>
      </c>
      <c r="C48" s="96" t="s">
        <v>269</v>
      </c>
      <c r="D48" s="91" t="s">
        <v>246</v>
      </c>
      <c r="E48" s="78" t="s">
        <v>39</v>
      </c>
      <c r="F48" s="92">
        <v>11</v>
      </c>
      <c r="G48" s="92">
        <v>25.29</v>
      </c>
      <c r="H48" s="93">
        <f t="shared" si="1"/>
        <v>32.270000000000003</v>
      </c>
      <c r="I48" s="93">
        <f t="shared" si="2"/>
        <v>354.97</v>
      </c>
      <c r="J48" s="88"/>
      <c r="K48" s="89"/>
      <c r="L48" s="86">
        <f t="shared" si="0"/>
        <v>3.0603948846564702E-3</v>
      </c>
      <c r="N48" s="7"/>
    </row>
    <row r="49" spans="2:14" s="2" customFormat="1">
      <c r="B49" s="90" t="s">
        <v>212</v>
      </c>
      <c r="C49" s="96" t="s">
        <v>270</v>
      </c>
      <c r="D49" s="91" t="s">
        <v>271</v>
      </c>
      <c r="E49" s="97">
        <v>93584</v>
      </c>
      <c r="F49" s="92">
        <v>30</v>
      </c>
      <c r="G49" s="92">
        <v>6.35</v>
      </c>
      <c r="H49" s="93">
        <f t="shared" si="1"/>
        <v>8.1</v>
      </c>
      <c r="I49" s="93">
        <f t="shared" si="2"/>
        <v>243</v>
      </c>
      <c r="J49" s="88"/>
      <c r="K49" s="89"/>
      <c r="L49" s="86">
        <f t="shared" si="0"/>
        <v>2.0950388961645272E-3</v>
      </c>
      <c r="N49" s="7"/>
    </row>
    <row r="50" spans="2:14" s="2" customFormat="1">
      <c r="B50" s="90" t="s">
        <v>213</v>
      </c>
      <c r="C50" s="90" t="s">
        <v>272</v>
      </c>
      <c r="D50" s="91" t="s">
        <v>246</v>
      </c>
      <c r="E50" s="78" t="s">
        <v>24</v>
      </c>
      <c r="F50" s="92">
        <v>3</v>
      </c>
      <c r="G50" s="92">
        <v>11.25</v>
      </c>
      <c r="H50" s="93">
        <f t="shared" si="1"/>
        <v>14.35</v>
      </c>
      <c r="I50" s="93">
        <f t="shared" si="2"/>
        <v>43.05</v>
      </c>
      <c r="J50" s="88"/>
      <c r="K50" s="89"/>
      <c r="L50" s="86">
        <f t="shared" si="0"/>
        <v>3.7115812543161682E-4</v>
      </c>
      <c r="N50" s="7"/>
    </row>
    <row r="51" spans="2:14" s="2" customFormat="1">
      <c r="B51" s="90" t="s">
        <v>214</v>
      </c>
      <c r="C51" s="96" t="s">
        <v>273</v>
      </c>
      <c r="D51" s="91" t="s">
        <v>246</v>
      </c>
      <c r="E51" s="78" t="s">
        <v>39</v>
      </c>
      <c r="F51" s="92">
        <v>9</v>
      </c>
      <c r="G51" s="92">
        <v>6.18</v>
      </c>
      <c r="H51" s="93">
        <f t="shared" si="1"/>
        <v>7.88</v>
      </c>
      <c r="I51" s="93">
        <f t="shared" si="2"/>
        <v>70.92</v>
      </c>
      <c r="J51" s="88"/>
      <c r="K51" s="89"/>
      <c r="L51" s="86">
        <f t="shared" si="0"/>
        <v>6.1144098154727682E-4</v>
      </c>
      <c r="N51" s="7"/>
    </row>
    <row r="52" spans="2:14" s="2" customFormat="1">
      <c r="B52" s="90" t="s">
        <v>215</v>
      </c>
      <c r="C52" s="96" t="s">
        <v>274</v>
      </c>
      <c r="D52" s="91" t="s">
        <v>246</v>
      </c>
      <c r="E52" s="97">
        <v>93584</v>
      </c>
      <c r="F52" s="92">
        <v>8</v>
      </c>
      <c r="G52" s="92">
        <v>25.11</v>
      </c>
      <c r="H52" s="93">
        <f t="shared" si="1"/>
        <v>32.04</v>
      </c>
      <c r="I52" s="93">
        <f t="shared" si="2"/>
        <v>256.32</v>
      </c>
      <c r="J52" s="88"/>
      <c r="K52" s="89"/>
      <c r="L52" s="86">
        <f t="shared" si="0"/>
        <v>2.2098780652876197E-3</v>
      </c>
      <c r="N52" s="7"/>
    </row>
    <row r="53" spans="2:14" s="2" customFormat="1">
      <c r="B53" s="90" t="s">
        <v>216</v>
      </c>
      <c r="C53" s="90" t="s">
        <v>275</v>
      </c>
      <c r="D53" s="91" t="s">
        <v>246</v>
      </c>
      <c r="E53" s="78" t="s">
        <v>24</v>
      </c>
      <c r="F53" s="92">
        <v>3</v>
      </c>
      <c r="G53" s="92">
        <v>54.4</v>
      </c>
      <c r="H53" s="93">
        <f t="shared" si="1"/>
        <v>69.430000000000007</v>
      </c>
      <c r="I53" s="93">
        <f t="shared" si="2"/>
        <v>208.29</v>
      </c>
      <c r="J53" s="88"/>
      <c r="K53" s="89"/>
      <c r="L53" s="86">
        <f t="shared" si="0"/>
        <v>1.7957845748234951E-3</v>
      </c>
      <c r="N53" s="7"/>
    </row>
    <row r="54" spans="2:14" s="2" customFormat="1">
      <c r="B54" s="90" t="s">
        <v>217</v>
      </c>
      <c r="C54" s="96" t="s">
        <v>276</v>
      </c>
      <c r="D54" s="91" t="s">
        <v>246</v>
      </c>
      <c r="E54" s="78" t="s">
        <v>39</v>
      </c>
      <c r="F54" s="92">
        <v>4</v>
      </c>
      <c r="G54" s="92">
        <v>34.56</v>
      </c>
      <c r="H54" s="93">
        <f t="shared" si="1"/>
        <v>44.1</v>
      </c>
      <c r="I54" s="93">
        <f t="shared" si="2"/>
        <v>176.4</v>
      </c>
      <c r="J54" s="88"/>
      <c r="K54" s="89"/>
      <c r="L54" s="86">
        <f t="shared" si="0"/>
        <v>1.5208430505490643E-3</v>
      </c>
      <c r="N54" s="7"/>
    </row>
    <row r="55" spans="2:14" s="2" customFormat="1">
      <c r="B55" s="90" t="s">
        <v>218</v>
      </c>
      <c r="C55" s="96" t="s">
        <v>277</v>
      </c>
      <c r="D55" s="91" t="s">
        <v>278</v>
      </c>
      <c r="E55" s="97">
        <v>93584</v>
      </c>
      <c r="F55" s="92">
        <v>1</v>
      </c>
      <c r="G55" s="92">
        <v>120.9</v>
      </c>
      <c r="H55" s="93">
        <f t="shared" ref="H55:H81" si="3">TRUNC(G55*$H$15+G55,2)</f>
        <v>154.30000000000001</v>
      </c>
      <c r="I55" s="93">
        <f t="shared" ref="I55:I81" si="4">TRUNC(H55*F55,2)</f>
        <v>154.30000000000001</v>
      </c>
      <c r="J55" s="88"/>
      <c r="K55" s="89"/>
      <c r="L55" s="86">
        <f t="shared" si="0"/>
        <v>1.3303065912682575E-3</v>
      </c>
      <c r="N55" s="7"/>
    </row>
    <row r="56" spans="2:14" s="2" customFormat="1">
      <c r="B56" s="90" t="s">
        <v>219</v>
      </c>
      <c r="C56" s="90" t="s">
        <v>279</v>
      </c>
      <c r="D56" s="91" t="s">
        <v>271</v>
      </c>
      <c r="E56" s="78" t="s">
        <v>24</v>
      </c>
      <c r="F56" s="92">
        <v>6</v>
      </c>
      <c r="G56" s="92">
        <v>9.4</v>
      </c>
      <c r="H56" s="93">
        <f t="shared" si="3"/>
        <v>11.99</v>
      </c>
      <c r="I56" s="93">
        <f t="shared" si="4"/>
        <v>71.94</v>
      </c>
      <c r="J56" s="88"/>
      <c r="K56" s="89"/>
      <c r="L56" s="86">
        <f t="shared" si="0"/>
        <v>6.2023497197562173E-4</v>
      </c>
      <c r="N56" s="7"/>
    </row>
    <row r="57" spans="2:14" s="2" customFormat="1">
      <c r="B57" s="90" t="s">
        <v>220</v>
      </c>
      <c r="C57" s="96" t="s">
        <v>280</v>
      </c>
      <c r="D57" s="91" t="s">
        <v>278</v>
      </c>
      <c r="E57" s="78" t="s">
        <v>39</v>
      </c>
      <c r="F57" s="92">
        <v>1</v>
      </c>
      <c r="G57" s="92">
        <v>87.03</v>
      </c>
      <c r="H57" s="93">
        <f t="shared" si="3"/>
        <v>111.07</v>
      </c>
      <c r="I57" s="93">
        <f t="shared" si="4"/>
        <v>111.07</v>
      </c>
      <c r="J57" s="88"/>
      <c r="K57" s="89"/>
      <c r="L57" s="86">
        <f t="shared" si="0"/>
        <v>9.5759658517281484E-4</v>
      </c>
      <c r="N57" s="7"/>
    </row>
    <row r="58" spans="2:14" s="2" customFormat="1">
      <c r="B58" s="90" t="s">
        <v>221</v>
      </c>
      <c r="C58" s="96" t="s">
        <v>281</v>
      </c>
      <c r="D58" s="91" t="s">
        <v>246</v>
      </c>
      <c r="E58" s="97">
        <v>93584</v>
      </c>
      <c r="F58" s="92">
        <v>51</v>
      </c>
      <c r="G58" s="92">
        <v>26.66</v>
      </c>
      <c r="H58" s="93">
        <f t="shared" si="3"/>
        <v>34.020000000000003</v>
      </c>
      <c r="I58" s="93">
        <f t="shared" si="4"/>
        <v>1735.02</v>
      </c>
      <c r="J58" s="88"/>
      <c r="K58" s="89"/>
      <c r="L58" s="86">
        <f t="shared" si="0"/>
        <v>1.4958577718614724E-2</v>
      </c>
      <c r="N58" s="7"/>
    </row>
    <row r="59" spans="2:14" s="2" customFormat="1">
      <c r="B59" s="90" t="s">
        <v>222</v>
      </c>
      <c r="C59" s="90" t="s">
        <v>282</v>
      </c>
      <c r="D59" s="91" t="s">
        <v>246</v>
      </c>
      <c r="E59" s="78" t="s">
        <v>24</v>
      </c>
      <c r="F59" s="92">
        <v>6</v>
      </c>
      <c r="G59" s="92">
        <v>118.26</v>
      </c>
      <c r="H59" s="93">
        <f t="shared" si="3"/>
        <v>150.93</v>
      </c>
      <c r="I59" s="93">
        <f t="shared" si="4"/>
        <v>905.58</v>
      </c>
      <c r="J59" s="88"/>
      <c r="K59" s="89"/>
      <c r="L59" s="86">
        <f t="shared" si="0"/>
        <v>7.8075116197064715E-3</v>
      </c>
      <c r="N59" s="7"/>
    </row>
    <row r="60" spans="2:14" s="2" customFormat="1">
      <c r="B60" s="90" t="s">
        <v>223</v>
      </c>
      <c r="C60" s="96" t="s">
        <v>284</v>
      </c>
      <c r="D60" s="91" t="s">
        <v>246</v>
      </c>
      <c r="E60" s="78" t="s">
        <v>39</v>
      </c>
      <c r="F60" s="92">
        <v>63</v>
      </c>
      <c r="G60" s="92">
        <v>277.76</v>
      </c>
      <c r="H60" s="93">
        <f t="shared" si="3"/>
        <v>354.5</v>
      </c>
      <c r="I60" s="93">
        <f t="shared" si="4"/>
        <v>22333.5</v>
      </c>
      <c r="J60" s="88"/>
      <c r="K60" s="89"/>
      <c r="L60" s="86">
        <f t="shared" si="0"/>
        <v>0.19254959336415831</v>
      </c>
      <c r="N60" s="7"/>
    </row>
    <row r="61" spans="2:14" s="2" customFormat="1">
      <c r="B61" s="90" t="s">
        <v>224</v>
      </c>
      <c r="C61" s="96" t="s">
        <v>283</v>
      </c>
      <c r="D61" s="91" t="s">
        <v>246</v>
      </c>
      <c r="E61" s="97">
        <v>93584</v>
      </c>
      <c r="F61" s="92">
        <v>41</v>
      </c>
      <c r="G61" s="92">
        <v>12.55</v>
      </c>
      <c r="H61" s="93">
        <f t="shared" si="3"/>
        <v>16.010000000000002</v>
      </c>
      <c r="I61" s="93">
        <f t="shared" si="4"/>
        <v>656.41</v>
      </c>
      <c r="J61" s="88"/>
      <c r="K61" s="89"/>
      <c r="L61" s="86">
        <f t="shared" si="0"/>
        <v>5.6592777030097007E-3</v>
      </c>
      <c r="N61" s="7"/>
    </row>
    <row r="62" spans="2:14" s="2" customFormat="1">
      <c r="B62" s="90" t="s">
        <v>225</v>
      </c>
      <c r="C62" s="90" t="s">
        <v>285</v>
      </c>
      <c r="D62" s="91" t="s">
        <v>246</v>
      </c>
      <c r="E62" s="78" t="s">
        <v>24</v>
      </c>
      <c r="F62" s="92">
        <v>51</v>
      </c>
      <c r="G62" s="92">
        <v>170.22</v>
      </c>
      <c r="H62" s="93">
        <f t="shared" si="3"/>
        <v>217.25</v>
      </c>
      <c r="I62" s="93">
        <f t="shared" si="4"/>
        <v>11079.75</v>
      </c>
      <c r="J62" s="88"/>
      <c r="K62" s="89"/>
      <c r="L62" s="86">
        <f t="shared" si="0"/>
        <v>9.5524721027896789E-2</v>
      </c>
      <c r="N62" s="7"/>
    </row>
    <row r="63" spans="2:14" s="2" customFormat="1" ht="15.75" customHeight="1">
      <c r="B63" s="90" t="s">
        <v>226</v>
      </c>
      <c r="C63" s="96" t="s">
        <v>286</v>
      </c>
      <c r="D63" s="91" t="s">
        <v>246</v>
      </c>
      <c r="E63" s="78" t="s">
        <v>39</v>
      </c>
      <c r="F63" s="92">
        <v>63</v>
      </c>
      <c r="G63" s="92">
        <v>10.09</v>
      </c>
      <c r="H63" s="93">
        <f t="shared" si="3"/>
        <v>12.87</v>
      </c>
      <c r="I63" s="93">
        <f t="shared" si="4"/>
        <v>810.81</v>
      </c>
      <c r="J63" s="88"/>
      <c r="K63" s="89"/>
      <c r="L63" s="86">
        <f t="shared" si="0"/>
        <v>6.9904464502023051E-3</v>
      </c>
      <c r="N63" s="7"/>
    </row>
    <row r="64" spans="2:14" s="2" customFormat="1">
      <c r="B64" s="90" t="s">
        <v>227</v>
      </c>
      <c r="C64" s="96" t="s">
        <v>287</v>
      </c>
      <c r="D64" s="91" t="s">
        <v>246</v>
      </c>
      <c r="E64" s="97">
        <v>93584</v>
      </c>
      <c r="F64" s="92">
        <v>51</v>
      </c>
      <c r="G64" s="92">
        <v>28.79</v>
      </c>
      <c r="H64" s="93">
        <f t="shared" si="3"/>
        <v>36.74</v>
      </c>
      <c r="I64" s="93">
        <f t="shared" si="4"/>
        <v>1873.74</v>
      </c>
      <c r="J64" s="88"/>
      <c r="K64" s="89"/>
      <c r="L64" s="86">
        <f t="shared" si="0"/>
        <v>1.6154560416869634E-2</v>
      </c>
      <c r="N64" s="7"/>
    </row>
    <row r="65" spans="2:14" s="2" customFormat="1">
      <c r="B65" s="90" t="s">
        <v>228</v>
      </c>
      <c r="C65" s="90" t="s">
        <v>289</v>
      </c>
      <c r="D65" s="91" t="s">
        <v>246</v>
      </c>
      <c r="E65" s="78" t="s">
        <v>24</v>
      </c>
      <c r="F65" s="92">
        <v>48</v>
      </c>
      <c r="G65" s="92">
        <v>30.14</v>
      </c>
      <c r="H65" s="93">
        <f t="shared" si="3"/>
        <v>38.46</v>
      </c>
      <c r="I65" s="93">
        <f t="shared" si="4"/>
        <v>1846.08</v>
      </c>
      <c r="J65" s="88"/>
      <c r="K65" s="89"/>
      <c r="L65" s="86">
        <f t="shared" si="0"/>
        <v>1.5916088088195102E-2</v>
      </c>
      <c r="N65" s="7"/>
    </row>
    <row r="66" spans="2:14" s="2" customFormat="1">
      <c r="B66" s="90" t="s">
        <v>229</v>
      </c>
      <c r="C66" s="96" t="s">
        <v>288</v>
      </c>
      <c r="D66" s="91" t="s">
        <v>246</v>
      </c>
      <c r="E66" s="78" t="s">
        <v>39</v>
      </c>
      <c r="F66" s="92">
        <v>16</v>
      </c>
      <c r="G66" s="92">
        <v>118.52</v>
      </c>
      <c r="H66" s="93">
        <f t="shared" si="3"/>
        <v>151.26</v>
      </c>
      <c r="I66" s="93">
        <f t="shared" si="4"/>
        <v>2420.16</v>
      </c>
      <c r="J66" s="88"/>
      <c r="K66" s="89"/>
      <c r="L66" s="86">
        <f t="shared" si="0"/>
        <v>2.0865552818689473E-2</v>
      </c>
      <c r="N66" s="7"/>
    </row>
    <row r="67" spans="2:14" s="46" customFormat="1">
      <c r="B67" s="90" t="s">
        <v>230</v>
      </c>
      <c r="C67" s="96" t="s">
        <v>290</v>
      </c>
      <c r="D67" s="91" t="s">
        <v>246</v>
      </c>
      <c r="E67" s="97">
        <v>93584</v>
      </c>
      <c r="F67" s="92">
        <v>51</v>
      </c>
      <c r="G67" s="92">
        <v>25.04</v>
      </c>
      <c r="H67" s="93">
        <f t="shared" si="3"/>
        <v>31.95</v>
      </c>
      <c r="I67" s="93">
        <f t="shared" si="4"/>
        <v>1629.45</v>
      </c>
      <c r="J67" s="98"/>
      <c r="K67" s="98"/>
      <c r="L67" s="86">
        <f t="shared" si="0"/>
        <v>1.4048399709281024E-2</v>
      </c>
      <c r="N67" s="48"/>
    </row>
    <row r="68" spans="2:14" s="44" customFormat="1">
      <c r="B68" s="90" t="s">
        <v>231</v>
      </c>
      <c r="C68" s="90" t="s">
        <v>291</v>
      </c>
      <c r="D68" s="91" t="s">
        <v>246</v>
      </c>
      <c r="E68" s="78" t="s">
        <v>24</v>
      </c>
      <c r="F68" s="92">
        <v>6</v>
      </c>
      <c r="G68" s="92">
        <v>21.29</v>
      </c>
      <c r="H68" s="93">
        <f t="shared" si="3"/>
        <v>27.17</v>
      </c>
      <c r="I68" s="93">
        <f t="shared" si="4"/>
        <v>163.02000000000001</v>
      </c>
      <c r="J68" s="94">
        <v>0</v>
      </c>
      <c r="K68" s="95" t="e">
        <f>(J68*#REF!)</f>
        <v>#REF!</v>
      </c>
      <c r="L68" s="86">
        <f t="shared" si="0"/>
        <v>1.4054865878713632E-3</v>
      </c>
      <c r="N68" s="49"/>
    </row>
    <row r="69" spans="2:14" s="44" customFormat="1">
      <c r="B69" s="90" t="s">
        <v>232</v>
      </c>
      <c r="C69" s="90" t="s">
        <v>292</v>
      </c>
      <c r="D69" s="91" t="s">
        <v>246</v>
      </c>
      <c r="E69" s="78" t="s">
        <v>39</v>
      </c>
      <c r="F69" s="92">
        <v>12</v>
      </c>
      <c r="G69" s="92">
        <v>5.14</v>
      </c>
      <c r="H69" s="93">
        <f t="shared" si="3"/>
        <v>6.56</v>
      </c>
      <c r="I69" s="93">
        <f t="shared" si="4"/>
        <v>78.72</v>
      </c>
      <c r="J69" s="94">
        <v>0</v>
      </c>
      <c r="K69" s="95" t="e">
        <f>(J69*#REF!)</f>
        <v>#REF!</v>
      </c>
      <c r="L69" s="86">
        <f t="shared" si="0"/>
        <v>6.7868914364638505E-4</v>
      </c>
      <c r="N69" s="49"/>
    </row>
    <row r="70" spans="2:14" s="44" customFormat="1">
      <c r="B70" s="90" t="s">
        <v>233</v>
      </c>
      <c r="C70" s="90" t="s">
        <v>293</v>
      </c>
      <c r="D70" s="91" t="s">
        <v>246</v>
      </c>
      <c r="E70" s="97">
        <v>93584</v>
      </c>
      <c r="F70" s="92">
        <v>32</v>
      </c>
      <c r="G70" s="92">
        <v>10.02</v>
      </c>
      <c r="H70" s="93">
        <f t="shared" si="3"/>
        <v>12.78</v>
      </c>
      <c r="I70" s="93">
        <f t="shared" si="4"/>
        <v>408.96</v>
      </c>
      <c r="J70" s="94">
        <v>0</v>
      </c>
      <c r="K70" s="95" t="e">
        <f>(J70*#REF!)</f>
        <v>#REF!</v>
      </c>
      <c r="L70" s="86">
        <f t="shared" si="0"/>
        <v>3.5258728682117076E-3</v>
      </c>
      <c r="N70" s="49"/>
    </row>
    <row r="71" spans="2:14" s="44" customFormat="1">
      <c r="B71" s="90" t="s">
        <v>234</v>
      </c>
      <c r="C71" s="90" t="s">
        <v>294</v>
      </c>
      <c r="D71" s="91" t="s">
        <v>246</v>
      </c>
      <c r="E71" s="78" t="s">
        <v>24</v>
      </c>
      <c r="F71" s="92">
        <v>60</v>
      </c>
      <c r="G71" s="92">
        <v>12.38</v>
      </c>
      <c r="H71" s="93">
        <f t="shared" si="3"/>
        <v>15.8</v>
      </c>
      <c r="I71" s="93">
        <f t="shared" si="4"/>
        <v>948</v>
      </c>
      <c r="J71" s="94"/>
      <c r="K71" s="95"/>
      <c r="L71" s="86">
        <f t="shared" si="0"/>
        <v>8.1732381628146986E-3</v>
      </c>
      <c r="N71" s="49"/>
    </row>
    <row r="72" spans="2:14" s="1" customFormat="1" ht="12.75" customHeight="1">
      <c r="B72" s="90" t="s">
        <v>235</v>
      </c>
      <c r="C72" s="90" t="s">
        <v>295</v>
      </c>
      <c r="D72" s="91" t="s">
        <v>246</v>
      </c>
      <c r="E72" s="78" t="s">
        <v>39</v>
      </c>
      <c r="F72" s="92">
        <v>18</v>
      </c>
      <c r="G72" s="92">
        <v>8.1</v>
      </c>
      <c r="H72" s="93">
        <f t="shared" si="3"/>
        <v>10.33</v>
      </c>
      <c r="I72" s="93">
        <f t="shared" si="4"/>
        <v>185.94</v>
      </c>
      <c r="J72" s="88">
        <v>0</v>
      </c>
      <c r="K72" s="89" t="e">
        <f>SUM(#REF!)</f>
        <v>#REF!</v>
      </c>
      <c r="L72" s="86">
        <f t="shared" si="0"/>
        <v>1.6030927257318197E-3</v>
      </c>
      <c r="N72" s="6"/>
    </row>
    <row r="73" spans="2:14" s="50" customFormat="1">
      <c r="B73" s="90" t="s">
        <v>236</v>
      </c>
      <c r="C73" s="90" t="s">
        <v>296</v>
      </c>
      <c r="D73" s="91" t="s">
        <v>246</v>
      </c>
      <c r="E73" s="97">
        <v>93584</v>
      </c>
      <c r="F73" s="92">
        <v>20</v>
      </c>
      <c r="G73" s="92">
        <v>16.72</v>
      </c>
      <c r="H73" s="93">
        <f t="shared" si="3"/>
        <v>21.33</v>
      </c>
      <c r="I73" s="93">
        <f t="shared" si="4"/>
        <v>426.6</v>
      </c>
      <c r="J73" s="103"/>
      <c r="K73" s="103"/>
      <c r="L73" s="86">
        <f t="shared" si="0"/>
        <v>3.6779571732666145E-3</v>
      </c>
      <c r="N73" s="51"/>
    </row>
    <row r="74" spans="2:14" s="50" customFormat="1">
      <c r="B74" s="90" t="s">
        <v>237</v>
      </c>
      <c r="C74" s="90" t="s">
        <v>297</v>
      </c>
      <c r="D74" s="91" t="s">
        <v>246</v>
      </c>
      <c r="E74" s="78" t="s">
        <v>24</v>
      </c>
      <c r="F74" s="92">
        <v>44</v>
      </c>
      <c r="G74" s="92">
        <v>18.670000000000002</v>
      </c>
      <c r="H74" s="93">
        <f t="shared" si="3"/>
        <v>23.82</v>
      </c>
      <c r="I74" s="93">
        <f t="shared" si="4"/>
        <v>1048.08</v>
      </c>
      <c r="J74" s="105">
        <v>0</v>
      </c>
      <c r="K74" s="106" t="e">
        <f>(J74*#REF!)</f>
        <v>#REF!</v>
      </c>
      <c r="L74" s="86">
        <f t="shared" si="0"/>
        <v>9.036083811901718E-3</v>
      </c>
      <c r="N74" s="51"/>
    </row>
    <row r="75" spans="2:14" s="50" customFormat="1">
      <c r="B75" s="90" t="s">
        <v>238</v>
      </c>
      <c r="C75" s="96" t="s">
        <v>298</v>
      </c>
      <c r="D75" s="91" t="s">
        <v>246</v>
      </c>
      <c r="E75" s="78" t="s">
        <v>39</v>
      </c>
      <c r="F75" s="92">
        <v>12</v>
      </c>
      <c r="G75" s="92">
        <v>22.08</v>
      </c>
      <c r="H75" s="93">
        <f t="shared" si="3"/>
        <v>28.18</v>
      </c>
      <c r="I75" s="93">
        <f t="shared" si="4"/>
        <v>338.16</v>
      </c>
      <c r="J75" s="105">
        <v>0</v>
      </c>
      <c r="K75" s="106" t="e">
        <f>(J75*#REF!)</f>
        <v>#REF!</v>
      </c>
      <c r="L75" s="86">
        <f t="shared" si="0"/>
        <v>2.9154664737736482E-3</v>
      </c>
      <c r="N75" s="51"/>
    </row>
    <row r="76" spans="2:14" s="50" customFormat="1">
      <c r="B76" s="90" t="s">
        <v>239</v>
      </c>
      <c r="C76" s="96" t="s">
        <v>299</v>
      </c>
      <c r="D76" s="91" t="s">
        <v>246</v>
      </c>
      <c r="E76" s="97">
        <v>93584</v>
      </c>
      <c r="F76" s="92">
        <v>12</v>
      </c>
      <c r="G76" s="92">
        <v>23.69</v>
      </c>
      <c r="H76" s="93">
        <f t="shared" si="3"/>
        <v>30.23</v>
      </c>
      <c r="I76" s="93">
        <f t="shared" si="4"/>
        <v>362.76</v>
      </c>
      <c r="J76" s="105"/>
      <c r="K76" s="106"/>
      <c r="L76" s="86">
        <f t="shared" si="0"/>
        <v>3.1275568311631436E-3</v>
      </c>
      <c r="N76" s="51"/>
    </row>
    <row r="77" spans="2:14" s="50" customFormat="1">
      <c r="B77" s="90" t="s">
        <v>240</v>
      </c>
      <c r="C77" s="96" t="s">
        <v>300</v>
      </c>
      <c r="D77" s="91" t="s">
        <v>246</v>
      </c>
      <c r="E77" s="78" t="s">
        <v>24</v>
      </c>
      <c r="F77" s="92">
        <v>9</v>
      </c>
      <c r="G77" s="92">
        <v>24.92</v>
      </c>
      <c r="H77" s="93">
        <f t="shared" si="3"/>
        <v>31.8</v>
      </c>
      <c r="I77" s="93">
        <f t="shared" si="4"/>
        <v>286.2</v>
      </c>
      <c r="J77" s="105"/>
      <c r="K77" s="106"/>
      <c r="L77" s="86">
        <f t="shared" si="0"/>
        <v>2.4674902554826651E-3</v>
      </c>
      <c r="N77" s="51"/>
    </row>
    <row r="78" spans="2:14" s="50" customFormat="1">
      <c r="B78" s="90" t="s">
        <v>241</v>
      </c>
      <c r="C78" s="96" t="s">
        <v>301</v>
      </c>
      <c r="D78" s="91" t="s">
        <v>246</v>
      </c>
      <c r="E78" s="78" t="s">
        <v>39</v>
      </c>
      <c r="F78" s="92">
        <v>64</v>
      </c>
      <c r="G78" s="92">
        <v>12.84</v>
      </c>
      <c r="H78" s="93">
        <f t="shared" si="3"/>
        <v>16.38</v>
      </c>
      <c r="I78" s="93">
        <f t="shared" si="4"/>
        <v>1048.32</v>
      </c>
      <c r="J78" s="105"/>
      <c r="K78" s="106"/>
      <c r="L78" s="86">
        <f t="shared" si="0"/>
        <v>9.0381529861201515E-3</v>
      </c>
      <c r="N78" s="51"/>
    </row>
    <row r="79" spans="2:14" s="1" customFormat="1" ht="12.75" customHeight="1">
      <c r="B79" s="90" t="s">
        <v>242</v>
      </c>
      <c r="C79" s="96" t="s">
        <v>302</v>
      </c>
      <c r="D79" s="91" t="s">
        <v>246</v>
      </c>
      <c r="E79" s="97">
        <v>93584</v>
      </c>
      <c r="F79" s="92">
        <v>12</v>
      </c>
      <c r="G79" s="92">
        <v>85.4</v>
      </c>
      <c r="H79" s="93">
        <f t="shared" si="3"/>
        <v>108.99</v>
      </c>
      <c r="I79" s="93">
        <f t="shared" si="4"/>
        <v>1307.8800000000001</v>
      </c>
      <c r="J79" s="107" t="e">
        <f>(K79/#REF!)</f>
        <v>#REF!</v>
      </c>
      <c r="K79" s="108" t="e">
        <f>SUM(#REF!)</f>
        <v>#REF!</v>
      </c>
      <c r="L79" s="86">
        <f t="shared" si="0"/>
        <v>1.1275964903356634E-2</v>
      </c>
      <c r="M79" s="37"/>
      <c r="N79" s="6"/>
    </row>
    <row r="80" spans="2:14" s="1" customFormat="1">
      <c r="B80" s="90" t="s">
        <v>243</v>
      </c>
      <c r="C80" s="96" t="s">
        <v>303</v>
      </c>
      <c r="D80" s="91" t="s">
        <v>246</v>
      </c>
      <c r="E80" s="78" t="s">
        <v>39</v>
      </c>
      <c r="F80" s="92">
        <v>12</v>
      </c>
      <c r="G80" s="92">
        <v>8.52</v>
      </c>
      <c r="H80" s="93">
        <f t="shared" si="3"/>
        <v>10.87</v>
      </c>
      <c r="I80" s="93">
        <f t="shared" si="4"/>
        <v>130.44</v>
      </c>
      <c r="J80" s="107"/>
      <c r="K80" s="108"/>
      <c r="L80" s="86">
        <f>I80/$I$83</f>
        <v>1.1245961877189338E-3</v>
      </c>
      <c r="M80" s="37"/>
      <c r="N80" s="6"/>
    </row>
    <row r="81" spans="2:14" s="1" customFormat="1">
      <c r="B81" s="90" t="s">
        <v>244</v>
      </c>
      <c r="C81" s="96" t="s">
        <v>311</v>
      </c>
      <c r="D81" s="91" t="s">
        <v>246</v>
      </c>
      <c r="E81" s="97">
        <v>93584</v>
      </c>
      <c r="F81" s="92">
        <v>12</v>
      </c>
      <c r="G81" s="92">
        <v>25.23</v>
      </c>
      <c r="H81" s="93">
        <f t="shared" si="3"/>
        <v>32.200000000000003</v>
      </c>
      <c r="I81" s="93">
        <f t="shared" si="4"/>
        <v>386.4</v>
      </c>
      <c r="J81" s="107"/>
      <c r="K81" s="108"/>
      <c r="L81" s="86">
        <f>I81/$I$83</f>
        <v>3.3313704916789022E-3</v>
      </c>
      <c r="M81" s="37"/>
      <c r="N81" s="6"/>
    </row>
    <row r="82" spans="2:14" s="50" customFormat="1" ht="13.5" thickBot="1">
      <c r="B82" s="193" t="s">
        <v>5</v>
      </c>
      <c r="C82" s="194"/>
      <c r="D82" s="194"/>
      <c r="E82" s="194"/>
      <c r="F82" s="195"/>
      <c r="G82" s="196">
        <f>(100%)</f>
        <v>1</v>
      </c>
      <c r="H82" s="197"/>
      <c r="I82" s="115">
        <f>SUM(I23:I81)</f>
        <v>65609.239999999991</v>
      </c>
      <c r="J82" s="105"/>
      <c r="K82" s="106"/>
      <c r="L82" s="86"/>
      <c r="N82" s="51"/>
    </row>
    <row r="83" spans="2:14" ht="15.75" customHeight="1" thickBot="1">
      <c r="B83" s="190" t="s">
        <v>28</v>
      </c>
      <c r="C83" s="191"/>
      <c r="D83" s="191"/>
      <c r="E83" s="191"/>
      <c r="F83" s="191"/>
      <c r="G83" s="191"/>
      <c r="H83" s="192"/>
      <c r="I83" s="116">
        <f>SUM(I82,I21)</f>
        <v>115988.29999999999</v>
      </c>
      <c r="J83" s="113"/>
      <c r="K83" s="113" t="s">
        <v>18</v>
      </c>
      <c r="L83" s="104"/>
    </row>
    <row r="84" spans="2:14" ht="19.5" customHeight="1">
      <c r="B84" s="187" t="s">
        <v>309</v>
      </c>
      <c r="C84" s="188"/>
      <c r="D84" s="188"/>
      <c r="E84" s="188"/>
      <c r="F84" s="188"/>
      <c r="G84" s="188"/>
      <c r="H84" s="188"/>
      <c r="I84" s="189"/>
      <c r="J84" s="109"/>
      <c r="K84" s="109"/>
      <c r="L84" s="114"/>
    </row>
    <row r="85" spans="2:14" ht="5.25" customHeight="1">
      <c r="B85" s="12"/>
      <c r="C85" s="12"/>
      <c r="D85" s="13"/>
      <c r="E85" s="14"/>
      <c r="F85" s="14"/>
      <c r="G85" s="11"/>
      <c r="H85" s="12"/>
      <c r="I85" s="12"/>
      <c r="J85" s="12"/>
      <c r="K85" s="12"/>
      <c r="L85" s="12"/>
    </row>
    <row r="86" spans="2:14">
      <c r="B86" s="12"/>
      <c r="C86" s="12"/>
      <c r="D86" s="13"/>
      <c r="E86" s="14"/>
      <c r="F86" s="14"/>
      <c r="G86" s="11"/>
      <c r="H86" s="12"/>
      <c r="I86" s="12"/>
      <c r="J86" s="12"/>
      <c r="K86" s="12"/>
      <c r="L86" s="12"/>
    </row>
    <row r="87" spans="2:14">
      <c r="B87" s="12"/>
      <c r="C87" s="12"/>
      <c r="D87" s="13"/>
      <c r="E87" s="14"/>
      <c r="F87" s="14"/>
      <c r="G87" s="11"/>
      <c r="H87" s="12"/>
      <c r="I87" s="12"/>
      <c r="J87" s="12"/>
      <c r="K87" s="12"/>
      <c r="L87" s="12"/>
    </row>
    <row r="88" spans="2:14">
      <c r="B88" s="12"/>
      <c r="C88" s="12"/>
      <c r="D88" s="13"/>
      <c r="E88" s="14"/>
      <c r="F88" s="14"/>
      <c r="G88" s="11"/>
      <c r="H88" s="12"/>
      <c r="I88" s="12"/>
      <c r="J88" s="12"/>
      <c r="K88" s="12"/>
      <c r="L88" s="12"/>
    </row>
    <row r="89" spans="2:14">
      <c r="B89" s="12"/>
      <c r="C89" s="12"/>
      <c r="D89" s="13"/>
      <c r="E89" s="14"/>
      <c r="F89" s="14"/>
      <c r="G89" s="11"/>
      <c r="H89" s="12"/>
      <c r="I89" s="12"/>
      <c r="J89" s="12"/>
      <c r="K89" s="12"/>
      <c r="L89" s="12"/>
    </row>
    <row r="90" spans="2:14">
      <c r="B90" s="12"/>
      <c r="C90" s="12"/>
      <c r="D90" s="13"/>
      <c r="E90" s="14"/>
      <c r="F90" s="14"/>
      <c r="G90" s="11"/>
      <c r="H90" s="12"/>
      <c r="I90" s="12"/>
      <c r="J90" s="12"/>
      <c r="K90" s="12"/>
      <c r="L90" s="12"/>
    </row>
    <row r="91" spans="2:14">
      <c r="B91" s="12"/>
      <c r="C91" s="12"/>
      <c r="D91" s="13"/>
      <c r="E91" s="14"/>
      <c r="F91" s="14"/>
      <c r="G91" s="11"/>
      <c r="H91" s="12"/>
      <c r="I91" s="12"/>
      <c r="J91" s="12"/>
      <c r="K91" s="12"/>
      <c r="L91" s="12"/>
    </row>
    <row r="92" spans="2:14">
      <c r="B92" s="12"/>
      <c r="C92" s="12"/>
      <c r="D92" s="13"/>
      <c r="E92" s="14"/>
      <c r="F92" s="14"/>
      <c r="G92" s="11"/>
      <c r="H92" s="12"/>
      <c r="I92" s="12"/>
      <c r="J92" s="12"/>
      <c r="K92" s="12"/>
      <c r="L92" s="12"/>
    </row>
    <row r="93" spans="2:14">
      <c r="B93" s="12"/>
      <c r="C93" s="12"/>
      <c r="D93" s="13"/>
      <c r="E93" s="14"/>
      <c r="F93" s="14"/>
      <c r="G93" s="11"/>
      <c r="H93" s="12"/>
      <c r="I93" s="12"/>
      <c r="J93" s="12"/>
      <c r="K93" s="12"/>
      <c r="L93" s="12"/>
    </row>
    <row r="94" spans="2:14">
      <c r="B94" s="12"/>
      <c r="C94" s="12"/>
      <c r="D94" s="13"/>
      <c r="E94" s="14"/>
      <c r="F94" s="14"/>
      <c r="G94" s="11"/>
      <c r="H94" s="12"/>
      <c r="I94" s="12"/>
    </row>
  </sheetData>
  <mergeCells count="34">
    <mergeCell ref="B84:I84"/>
    <mergeCell ref="B83:H83"/>
    <mergeCell ref="B82:F82"/>
    <mergeCell ref="G82:H82"/>
    <mergeCell ref="B2:I2"/>
    <mergeCell ref="B11:I11"/>
    <mergeCell ref="B12:B14"/>
    <mergeCell ref="G12:I13"/>
    <mergeCell ref="B5:I5"/>
    <mergeCell ref="B6:I6"/>
    <mergeCell ref="J13:K13"/>
    <mergeCell ref="J15:K15"/>
    <mergeCell ref="B3:I3"/>
    <mergeCell ref="B7:G7"/>
    <mergeCell ref="H7:I7"/>
    <mergeCell ref="J7:K7"/>
    <mergeCell ref="F12:F14"/>
    <mergeCell ref="D12:D14"/>
    <mergeCell ref="N23:P23"/>
    <mergeCell ref="N22:P22"/>
    <mergeCell ref="J22:K22"/>
    <mergeCell ref="J8:K8"/>
    <mergeCell ref="B9:I9"/>
    <mergeCell ref="B8:I8"/>
    <mergeCell ref="J10:K10"/>
    <mergeCell ref="B10:G10"/>
    <mergeCell ref="H10:I10"/>
    <mergeCell ref="E12:E14"/>
    <mergeCell ref="N15:P15"/>
    <mergeCell ref="N16:P16"/>
    <mergeCell ref="B21:F21"/>
    <mergeCell ref="G21:H21"/>
    <mergeCell ref="J12:K12"/>
    <mergeCell ref="C12:C14"/>
  </mergeCells>
  <phoneticPr fontId="0" type="noConversion"/>
  <conditionalFormatting sqref="L13:L83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.59055118110236227" right="0.59055118110236227" top="0.59055118110236227" bottom="0.59055118110236227" header="0.27559055118110237" footer="0.31496062992125984"/>
  <pageSetup paperSize="9" scale="95" fitToWidth="5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/>
  <dimension ref="A1:F22"/>
  <sheetViews>
    <sheetView showGridLines="0" workbookViewId="0">
      <selection activeCell="B4" sqref="B4:E4"/>
    </sheetView>
  </sheetViews>
  <sheetFormatPr defaultColWidth="11.42578125" defaultRowHeight="12.75"/>
  <cols>
    <col min="1" max="1" width="0.7109375" style="10" customWidth="1"/>
    <col min="2" max="2" width="10.140625" style="10" customWidth="1"/>
    <col min="3" max="3" width="45.140625" style="10" customWidth="1"/>
    <col min="4" max="4" width="7.85546875" style="10" customWidth="1"/>
    <col min="5" max="5" width="20.85546875" style="10" customWidth="1"/>
    <col min="6" max="6" width="0.7109375" style="10" customWidth="1"/>
    <col min="7" max="16384" width="11.42578125" style="10"/>
  </cols>
  <sheetData>
    <row r="1" spans="1:6" ht="16.5" customHeight="1"/>
    <row r="2" spans="1:6" ht="19.5" customHeight="1" thickBot="1">
      <c r="B2" s="15"/>
      <c r="C2" s="15"/>
      <c r="D2" s="15"/>
      <c r="E2" s="15"/>
    </row>
    <row r="3" spans="1:6" ht="24" customHeight="1">
      <c r="A3" s="59"/>
      <c r="B3" s="219" t="s">
        <v>13</v>
      </c>
      <c r="C3" s="220"/>
      <c r="D3" s="220"/>
      <c r="E3" s="221"/>
      <c r="F3" s="60"/>
    </row>
    <row r="4" spans="1:6" ht="33.75" customHeight="1">
      <c r="A4" s="61"/>
      <c r="B4" s="222" t="str">
        <f>Orçamento!B5:I5</f>
        <v>Execução de obra de remoção e instalação de rede elétrica de MT e BT</v>
      </c>
      <c r="C4" s="223"/>
      <c r="D4" s="223"/>
      <c r="E4" s="224"/>
      <c r="F4" s="62"/>
    </row>
    <row r="5" spans="1:6" ht="24" customHeight="1">
      <c r="A5" s="61"/>
      <c r="B5" s="229" t="str">
        <f>Orçamento!B6:I6</f>
        <v>Avenida Brasil - Centro                                                                                                                                         Coordenadas Geográficas da Obra: Latitude 14°48'06.4"S - Longitude 53°36'39.8"O</v>
      </c>
      <c r="C5" s="230"/>
      <c r="D5" s="230"/>
      <c r="E5" s="231"/>
      <c r="F5" s="62"/>
    </row>
    <row r="6" spans="1:6" ht="21" customHeight="1" thickBot="1">
      <c r="A6" s="61"/>
      <c r="B6" s="232" t="str">
        <f>Orçamento!H10</f>
        <v>DATA:27/02/2020</v>
      </c>
      <c r="C6" s="233"/>
      <c r="D6" s="17"/>
      <c r="E6" s="38" t="str">
        <f>Orçamento!H7</f>
        <v>B.D.I: 27,63%</v>
      </c>
      <c r="F6" s="63"/>
    </row>
    <row r="7" spans="1:6" ht="6.75" customHeight="1">
      <c r="A7" s="61"/>
      <c r="B7" s="19"/>
      <c r="C7" s="20"/>
      <c r="D7" s="20"/>
      <c r="E7" s="20"/>
      <c r="F7" s="62"/>
    </row>
    <row r="8" spans="1:6">
      <c r="A8" s="61"/>
      <c r="B8" s="225" t="s">
        <v>14</v>
      </c>
      <c r="C8" s="225" t="s">
        <v>7</v>
      </c>
      <c r="D8" s="225" t="s">
        <v>8</v>
      </c>
      <c r="E8" s="40" t="s">
        <v>9</v>
      </c>
      <c r="F8" s="62"/>
    </row>
    <row r="9" spans="1:6">
      <c r="A9" s="61"/>
      <c r="B9" s="226"/>
      <c r="C9" s="226"/>
      <c r="D9" s="226"/>
      <c r="E9" s="41" t="s">
        <v>10</v>
      </c>
      <c r="F9" s="62"/>
    </row>
    <row r="10" spans="1:6">
      <c r="A10" s="61"/>
      <c r="B10" s="234">
        <v>1</v>
      </c>
      <c r="C10" s="236" t="s">
        <v>4</v>
      </c>
      <c r="D10" s="217">
        <f>E10/E15</f>
        <v>0.43434605042060276</v>
      </c>
      <c r="E10" s="239">
        <v>50379.06</v>
      </c>
      <c r="F10" s="62"/>
    </row>
    <row r="11" spans="1:6">
      <c r="A11" s="61"/>
      <c r="B11" s="235"/>
      <c r="C11" s="237"/>
      <c r="D11" s="238"/>
      <c r="E11" s="240"/>
      <c r="F11" s="62"/>
    </row>
    <row r="12" spans="1:6">
      <c r="A12" s="61"/>
      <c r="B12" s="234">
        <v>2</v>
      </c>
      <c r="C12" s="236" t="s">
        <v>188</v>
      </c>
      <c r="D12" s="217">
        <f>E12/E15</f>
        <v>0.5656539495793973</v>
      </c>
      <c r="E12" s="227">
        <v>65609.240000000005</v>
      </c>
      <c r="F12" s="62"/>
    </row>
    <row r="13" spans="1:6">
      <c r="A13" s="61"/>
      <c r="B13" s="241"/>
      <c r="C13" s="242"/>
      <c r="D13" s="218"/>
      <c r="E13" s="227"/>
      <c r="F13" s="62"/>
    </row>
    <row r="14" spans="1:6" ht="5.25" hidden="1" customHeight="1">
      <c r="A14" s="61"/>
      <c r="B14" s="235"/>
      <c r="C14" s="237"/>
      <c r="D14" s="218"/>
      <c r="E14" s="228"/>
      <c r="F14" s="62"/>
    </row>
    <row r="15" spans="1:6" ht="13.5" thickBot="1">
      <c r="A15" s="64"/>
      <c r="B15" s="216" t="s">
        <v>12</v>
      </c>
      <c r="C15" s="216"/>
      <c r="D15" s="67">
        <v>1</v>
      </c>
      <c r="E15" s="68">
        <f>SUM(E10:E14)</f>
        <v>115988.3</v>
      </c>
      <c r="F15" s="65"/>
    </row>
    <row r="16" spans="1:6" ht="3" customHeight="1" thickBot="1">
      <c r="A16" s="64"/>
      <c r="B16" s="17"/>
      <c r="C16" s="17"/>
      <c r="D16" s="17"/>
      <c r="E16" s="17"/>
      <c r="F16" s="65"/>
    </row>
    <row r="17" spans="2:5">
      <c r="B17" s="15"/>
      <c r="C17" s="31"/>
      <c r="D17" s="31"/>
      <c r="E17" s="31"/>
    </row>
    <row r="18" spans="2:5">
      <c r="B18" s="15"/>
      <c r="C18" s="15"/>
      <c r="D18" s="15"/>
      <c r="E18" s="15"/>
    </row>
    <row r="19" spans="2:5">
      <c r="D19" s="16"/>
      <c r="E19" s="16"/>
    </row>
    <row r="20" spans="2:5">
      <c r="D20" s="16"/>
      <c r="E20" s="32"/>
    </row>
    <row r="21" spans="2:5">
      <c r="D21" s="16"/>
      <c r="E21" s="32"/>
    </row>
    <row r="22" spans="2:5">
      <c r="E22" s="33"/>
    </row>
  </sheetData>
  <mergeCells count="16">
    <mergeCell ref="B15:C15"/>
    <mergeCell ref="D12:D14"/>
    <mergeCell ref="B3:E3"/>
    <mergeCell ref="B4:E4"/>
    <mergeCell ref="B8:B9"/>
    <mergeCell ref="C8:C9"/>
    <mergeCell ref="D8:D9"/>
    <mergeCell ref="E12:E14"/>
    <mergeCell ref="B5:E5"/>
    <mergeCell ref="B6:C6"/>
    <mergeCell ref="B10:B11"/>
    <mergeCell ref="C10:C11"/>
    <mergeCell ref="D10:D11"/>
    <mergeCell ref="E10:E11"/>
    <mergeCell ref="B12:B14"/>
    <mergeCell ref="C12:C14"/>
  </mergeCells>
  <printOptions horizontalCentered="1"/>
  <pageMargins left="0.59055118110236227" right="0.59055118110236227" top="0.78740157480314965" bottom="0.78740157480314965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7"/>
  <dimension ref="A1:J24"/>
  <sheetViews>
    <sheetView showGridLines="0" view="pageBreakPreview" zoomScaleSheetLayoutView="100" workbookViewId="0">
      <selection activeCell="B4" sqref="B4:I4"/>
    </sheetView>
  </sheetViews>
  <sheetFormatPr defaultColWidth="11.42578125" defaultRowHeight="12.75"/>
  <cols>
    <col min="1" max="1" width="0.7109375" style="10" customWidth="1"/>
    <col min="2" max="2" width="8.28515625" style="10" customWidth="1"/>
    <col min="3" max="3" width="48.5703125" style="10" customWidth="1"/>
    <col min="4" max="4" width="8" style="10" customWidth="1"/>
    <col min="5" max="5" width="14" style="10" customWidth="1"/>
    <col min="6" max="6" width="11" style="10" customWidth="1"/>
    <col min="7" max="7" width="10.28515625" style="10" customWidth="1"/>
    <col min="8" max="8" width="10" style="10" customWidth="1"/>
    <col min="9" max="9" width="9.85546875" style="10" customWidth="1"/>
    <col min="10" max="10" width="0.7109375" style="10" customWidth="1"/>
    <col min="11" max="16384" width="11.42578125" style="10"/>
  </cols>
  <sheetData>
    <row r="1" spans="1:10" ht="3.75" customHeight="1" thickBot="1">
      <c r="A1" s="59"/>
      <c r="B1" s="66"/>
      <c r="C1" s="66"/>
      <c r="D1" s="66"/>
      <c r="E1" s="66"/>
      <c r="F1" s="66"/>
      <c r="G1" s="66"/>
      <c r="H1" s="66"/>
      <c r="I1" s="66"/>
      <c r="J1" s="60"/>
    </row>
    <row r="2" spans="1:10">
      <c r="A2" s="61"/>
      <c r="B2" s="245" t="s">
        <v>6</v>
      </c>
      <c r="C2" s="246"/>
      <c r="D2" s="246"/>
      <c r="E2" s="246"/>
      <c r="F2" s="246"/>
      <c r="G2" s="246"/>
      <c r="H2" s="246"/>
      <c r="I2" s="247"/>
      <c r="J2" s="62"/>
    </row>
    <row r="3" spans="1:10">
      <c r="A3" s="61"/>
      <c r="B3" s="248"/>
      <c r="C3" s="249"/>
      <c r="D3" s="249"/>
      <c r="E3" s="249"/>
      <c r="F3" s="249"/>
      <c r="G3" s="249"/>
      <c r="H3" s="249"/>
      <c r="I3" s="250"/>
      <c r="J3" s="62"/>
    </row>
    <row r="4" spans="1:10" ht="20.25" customHeight="1">
      <c r="A4" s="61"/>
      <c r="B4" s="252" t="str">
        <f>Orçamento!B5:K5</f>
        <v>Execução de obra de remoção e instalação de rede elétrica de MT e BT</v>
      </c>
      <c r="C4" s="253"/>
      <c r="D4" s="253"/>
      <c r="E4" s="253"/>
      <c r="F4" s="253"/>
      <c r="G4" s="253"/>
      <c r="H4" s="253"/>
      <c r="I4" s="254"/>
      <c r="J4" s="62"/>
    </row>
    <row r="5" spans="1:10" ht="41.25" customHeight="1">
      <c r="A5" s="61"/>
      <c r="B5" s="255" t="s">
        <v>307</v>
      </c>
      <c r="C5" s="256"/>
      <c r="D5" s="256"/>
      <c r="E5" s="256"/>
      <c r="F5" s="256"/>
      <c r="G5" s="256"/>
      <c r="H5" s="256"/>
      <c r="I5" s="257"/>
      <c r="J5" s="62"/>
    </row>
    <row r="6" spans="1:10" ht="17.100000000000001" customHeight="1" thickBot="1">
      <c r="A6" s="61"/>
      <c r="B6" s="232" t="str">
        <f>Orçamento!H10</f>
        <v>DATA:27/02/2020</v>
      </c>
      <c r="C6" s="233"/>
      <c r="D6" s="17"/>
      <c r="E6" s="17"/>
      <c r="F6" s="243"/>
      <c r="G6" s="244"/>
      <c r="H6" s="243" t="s">
        <v>26</v>
      </c>
      <c r="I6" s="244"/>
      <c r="J6" s="62"/>
    </row>
    <row r="7" spans="1:10" ht="17.100000000000001" customHeight="1">
      <c r="A7" s="61"/>
      <c r="B7" s="19"/>
      <c r="C7" s="20"/>
      <c r="D7" s="20"/>
      <c r="E7" s="20"/>
      <c r="F7" s="20"/>
      <c r="G7" s="20"/>
      <c r="H7" s="20"/>
      <c r="I7" s="20"/>
      <c r="J7" s="62"/>
    </row>
    <row r="8" spans="1:10">
      <c r="A8" s="61"/>
      <c r="B8" s="225" t="s">
        <v>0</v>
      </c>
      <c r="C8" s="225" t="s">
        <v>7</v>
      </c>
      <c r="D8" s="225" t="s">
        <v>8</v>
      </c>
      <c r="E8" s="21" t="s">
        <v>9</v>
      </c>
      <c r="F8" s="225" t="s">
        <v>304</v>
      </c>
      <c r="G8" s="225" t="s">
        <v>15</v>
      </c>
      <c r="H8" s="258"/>
      <c r="I8" s="258"/>
      <c r="J8" s="62"/>
    </row>
    <row r="9" spans="1:10">
      <c r="A9" s="61"/>
      <c r="B9" s="251"/>
      <c r="C9" s="251"/>
      <c r="D9" s="251"/>
      <c r="E9" s="21" t="s">
        <v>10</v>
      </c>
      <c r="F9" s="251"/>
      <c r="G9" s="251"/>
      <c r="H9" s="259"/>
      <c r="I9" s="259"/>
      <c r="J9" s="62"/>
    </row>
    <row r="10" spans="1:10">
      <c r="A10" s="61"/>
      <c r="B10" s="234">
        <v>1</v>
      </c>
      <c r="C10" s="236" t="s">
        <v>4</v>
      </c>
      <c r="D10" s="261">
        <f>E10/$E$17+0.00001</f>
        <v>0.43435605042060277</v>
      </c>
      <c r="E10" s="260">
        <v>50379.06</v>
      </c>
      <c r="F10" s="22"/>
      <c r="G10" s="22"/>
      <c r="H10" s="23"/>
      <c r="I10" s="23"/>
      <c r="J10" s="62"/>
    </row>
    <row r="11" spans="1:10">
      <c r="A11" s="61"/>
      <c r="B11" s="241"/>
      <c r="C11" s="242"/>
      <c r="D11" s="261"/>
      <c r="E11" s="227"/>
      <c r="F11" s="24">
        <v>0.5</v>
      </c>
      <c r="G11" s="24">
        <v>0.5</v>
      </c>
      <c r="H11" s="148"/>
      <c r="I11" s="148"/>
      <c r="J11" s="62"/>
    </row>
    <row r="12" spans="1:10">
      <c r="A12" s="61"/>
      <c r="B12" s="235"/>
      <c r="C12" s="237"/>
      <c r="D12" s="261"/>
      <c r="E12" s="228"/>
      <c r="F12" s="25">
        <f>(F11*E10)</f>
        <v>25189.53</v>
      </c>
      <c r="G12" s="25">
        <f>(G11*E10)</f>
        <v>25189.53</v>
      </c>
      <c r="H12" s="150"/>
      <c r="I12" s="150"/>
      <c r="J12" s="62"/>
    </row>
    <row r="13" spans="1:10">
      <c r="A13" s="61"/>
      <c r="B13" s="234">
        <v>2</v>
      </c>
      <c r="C13" s="236" t="s">
        <v>188</v>
      </c>
      <c r="D13" s="261">
        <f>E13/$E$17+0.00001</f>
        <v>0.56566394957939725</v>
      </c>
      <c r="E13" s="260">
        <v>65609.240000000005</v>
      </c>
      <c r="F13" s="22"/>
      <c r="G13" s="22"/>
      <c r="H13" s="23"/>
      <c r="I13" s="23"/>
      <c r="J13" s="62"/>
    </row>
    <row r="14" spans="1:10">
      <c r="A14" s="61"/>
      <c r="B14" s="241"/>
      <c r="C14" s="242"/>
      <c r="D14" s="261"/>
      <c r="E14" s="227"/>
      <c r="F14" s="24">
        <v>0.5</v>
      </c>
      <c r="G14" s="24">
        <v>0.5</v>
      </c>
      <c r="H14" s="148"/>
      <c r="I14" s="148"/>
      <c r="J14" s="62"/>
    </row>
    <row r="15" spans="1:10">
      <c r="A15" s="61"/>
      <c r="B15" s="235"/>
      <c r="C15" s="237"/>
      <c r="D15" s="261"/>
      <c r="E15" s="228"/>
      <c r="F15" s="25">
        <f>(F14*E13)</f>
        <v>32804.620000000003</v>
      </c>
      <c r="G15" s="25">
        <f>(G14*E13)</f>
        <v>32804.620000000003</v>
      </c>
      <c r="H15" s="150"/>
      <c r="I15" s="149"/>
      <c r="J15" s="62"/>
    </row>
    <row r="16" spans="1:10">
      <c r="A16" s="61"/>
      <c r="B16" s="263" t="s">
        <v>11</v>
      </c>
      <c r="C16" s="264"/>
      <c r="D16" s="27">
        <v>0</v>
      </c>
      <c r="E16" s="27">
        <v>0</v>
      </c>
      <c r="F16" s="26">
        <f>SUM(F15,F12)</f>
        <v>57994.15</v>
      </c>
      <c r="G16" s="26">
        <f>SUM(G15,G12)</f>
        <v>57994.15</v>
      </c>
      <c r="H16" s="151"/>
      <c r="I16" s="151"/>
      <c r="J16" s="62"/>
    </row>
    <row r="17" spans="1:10">
      <c r="A17" s="61"/>
      <c r="B17" s="263" t="s">
        <v>12</v>
      </c>
      <c r="C17" s="264"/>
      <c r="D17" s="28">
        <f>SUM(D10:D16)</f>
        <v>1.0000200000000001</v>
      </c>
      <c r="E17" s="29">
        <f>SUM(E10:E15)</f>
        <v>115988.3</v>
      </c>
      <c r="F17" s="30">
        <f>+F16</f>
        <v>57994.15</v>
      </c>
      <c r="G17" s="30">
        <f>+F17+G16</f>
        <v>115988.3</v>
      </c>
      <c r="H17" s="152"/>
      <c r="I17" s="152"/>
      <c r="J17" s="62"/>
    </row>
    <row r="18" spans="1:10">
      <c r="A18" s="61"/>
      <c r="B18" s="69"/>
      <c r="C18" s="69"/>
      <c r="D18" s="69"/>
      <c r="E18" s="69"/>
      <c r="F18" s="69"/>
      <c r="G18" s="69"/>
      <c r="H18" s="69"/>
      <c r="I18" s="69"/>
      <c r="J18" s="62"/>
    </row>
    <row r="19" spans="1:10">
      <c r="A19" s="61"/>
      <c r="B19" s="69" t="s">
        <v>80</v>
      </c>
      <c r="C19" s="70"/>
      <c r="D19" s="70"/>
      <c r="E19" s="70"/>
      <c r="F19" s="69"/>
      <c r="G19" s="69"/>
      <c r="H19" s="69"/>
      <c r="I19" s="69"/>
      <c r="J19" s="62"/>
    </row>
    <row r="20" spans="1:10">
      <c r="A20" s="61"/>
      <c r="B20" s="69"/>
      <c r="C20" s="117" t="s">
        <v>81</v>
      </c>
      <c r="D20" s="69"/>
      <c r="E20" s="69"/>
      <c r="F20" s="71"/>
      <c r="G20" s="71"/>
      <c r="H20" s="69"/>
      <c r="I20" s="69"/>
      <c r="J20" s="62"/>
    </row>
    <row r="21" spans="1:10">
      <c r="A21" s="61"/>
      <c r="B21" s="16"/>
      <c r="C21" s="16"/>
      <c r="D21" s="16"/>
      <c r="E21" s="16"/>
      <c r="F21" s="16"/>
      <c r="G21" s="16"/>
      <c r="H21" s="16"/>
      <c r="I21" s="16"/>
      <c r="J21" s="62"/>
    </row>
    <row r="22" spans="1:10" ht="13.5" thickBot="1">
      <c r="A22" s="64"/>
      <c r="B22" s="18"/>
      <c r="C22" s="18"/>
      <c r="D22" s="18"/>
      <c r="E22" s="265"/>
      <c r="F22" s="265"/>
      <c r="G22" s="265"/>
      <c r="H22" s="18"/>
      <c r="I22" s="18"/>
      <c r="J22" s="65"/>
    </row>
    <row r="23" spans="1:10">
      <c r="D23" s="16"/>
      <c r="E23" s="266"/>
      <c r="F23" s="266"/>
      <c r="G23" s="266"/>
      <c r="H23" s="16"/>
    </row>
    <row r="24" spans="1:10">
      <c r="E24" s="262"/>
      <c r="F24" s="262"/>
      <c r="G24" s="262"/>
    </row>
  </sheetData>
  <mergeCells count="26">
    <mergeCell ref="E24:G24"/>
    <mergeCell ref="B16:C16"/>
    <mergeCell ref="B17:C17"/>
    <mergeCell ref="E22:G22"/>
    <mergeCell ref="E23:G23"/>
    <mergeCell ref="E13:E15"/>
    <mergeCell ref="B10:B12"/>
    <mergeCell ref="C10:C12"/>
    <mergeCell ref="D10:D12"/>
    <mergeCell ref="E10:E12"/>
    <mergeCell ref="B13:B15"/>
    <mergeCell ref="C13:C15"/>
    <mergeCell ref="D13:D15"/>
    <mergeCell ref="F6:G6"/>
    <mergeCell ref="B2:I3"/>
    <mergeCell ref="B8:B9"/>
    <mergeCell ref="C8:C9"/>
    <mergeCell ref="D8:D9"/>
    <mergeCell ref="F8:F9"/>
    <mergeCell ref="G8:G9"/>
    <mergeCell ref="B4:I4"/>
    <mergeCell ref="B5:I5"/>
    <mergeCell ref="B6:C6"/>
    <mergeCell ref="H6:I6"/>
    <mergeCell ref="H8:H9"/>
    <mergeCell ref="I8:I9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workbookViewId="0">
      <selection activeCell="A3" sqref="A3:F3"/>
    </sheetView>
  </sheetViews>
  <sheetFormatPr defaultColWidth="9.140625" defaultRowHeight="15"/>
  <cols>
    <col min="1" max="1" width="7.7109375" style="118" customWidth="1"/>
    <col min="2" max="2" width="40.42578125" style="118" bestFit="1" customWidth="1"/>
    <col min="3" max="3" width="8.7109375" style="134" bestFit="1" customWidth="1"/>
    <col min="4" max="4" width="12.140625" style="118" bestFit="1" customWidth="1"/>
    <col min="5" max="5" width="9.140625" style="118"/>
    <col min="6" max="6" width="12.140625" style="118" bestFit="1" customWidth="1"/>
    <col min="7" max="16384" width="9.140625" style="118"/>
  </cols>
  <sheetData>
    <row r="1" spans="1:6">
      <c r="A1" s="270" t="s">
        <v>82</v>
      </c>
      <c r="B1" s="271"/>
      <c r="C1" s="271"/>
      <c r="D1" s="271"/>
      <c r="E1" s="271"/>
      <c r="F1" s="272"/>
    </row>
    <row r="2" spans="1:6" ht="3" customHeight="1">
      <c r="A2" s="273"/>
      <c r="B2" s="274"/>
      <c r="C2" s="274"/>
      <c r="D2" s="274"/>
      <c r="E2" s="274"/>
      <c r="F2" s="275"/>
    </row>
    <row r="3" spans="1:6" ht="29.25" customHeight="1">
      <c r="A3" s="276" t="s">
        <v>315</v>
      </c>
      <c r="B3" s="277"/>
      <c r="C3" s="277"/>
      <c r="D3" s="277"/>
      <c r="E3" s="277"/>
      <c r="F3" s="278"/>
    </row>
    <row r="4" spans="1:6" ht="33" customHeight="1">
      <c r="A4" s="279" t="s">
        <v>305</v>
      </c>
      <c r="B4" s="280"/>
      <c r="C4" s="280"/>
      <c r="D4" s="280"/>
      <c r="E4" s="280"/>
      <c r="F4" s="281"/>
    </row>
    <row r="5" spans="1:6" ht="15" customHeight="1">
      <c r="A5" s="276" t="s">
        <v>83</v>
      </c>
      <c r="B5" s="282"/>
      <c r="C5" s="282"/>
      <c r="D5" s="282"/>
      <c r="E5" s="282"/>
      <c r="F5" s="278"/>
    </row>
    <row r="6" spans="1:6" ht="15" customHeight="1">
      <c r="A6" s="276" t="s">
        <v>310</v>
      </c>
      <c r="B6" s="282"/>
      <c r="C6" s="282"/>
      <c r="D6" s="282"/>
      <c r="E6" s="282"/>
      <c r="F6" s="278"/>
    </row>
    <row r="7" spans="1:6" ht="15.75" customHeight="1">
      <c r="A7" s="283" t="s">
        <v>306</v>
      </c>
      <c r="B7" s="284"/>
      <c r="C7" s="284"/>
      <c r="D7" s="284"/>
      <c r="E7" s="284"/>
      <c r="F7" s="285"/>
    </row>
    <row r="8" spans="1:6">
      <c r="A8" s="267" t="s">
        <v>84</v>
      </c>
      <c r="B8" s="267"/>
      <c r="C8" s="267"/>
      <c r="D8" s="267"/>
      <c r="E8" s="267"/>
      <c r="F8" s="267"/>
    </row>
    <row r="9" spans="1:6">
      <c r="A9" s="286" t="s">
        <v>85</v>
      </c>
      <c r="B9" s="286" t="s">
        <v>86</v>
      </c>
      <c r="C9" s="287" t="s">
        <v>87</v>
      </c>
      <c r="D9" s="287"/>
      <c r="E9" s="269" t="s">
        <v>88</v>
      </c>
      <c r="F9" s="269"/>
    </row>
    <row r="10" spans="1:6">
      <c r="A10" s="286"/>
      <c r="B10" s="286"/>
      <c r="C10" s="119" t="s">
        <v>89</v>
      </c>
      <c r="D10" s="120" t="s">
        <v>90</v>
      </c>
      <c r="E10" s="120" t="s">
        <v>89</v>
      </c>
      <c r="F10" s="120" t="s">
        <v>90</v>
      </c>
    </row>
    <row r="11" spans="1:6" ht="12.75" customHeight="1">
      <c r="A11" s="286"/>
      <c r="B11" s="286"/>
      <c r="C11" s="121" t="s">
        <v>8</v>
      </c>
      <c r="D11" s="121" t="s">
        <v>8</v>
      </c>
      <c r="E11" s="121" t="s">
        <v>8</v>
      </c>
      <c r="F11" s="121" t="s">
        <v>8</v>
      </c>
    </row>
    <row r="12" spans="1:6">
      <c r="A12" s="269" t="s">
        <v>91</v>
      </c>
      <c r="B12" s="269"/>
      <c r="C12" s="269"/>
      <c r="D12" s="269"/>
      <c r="E12" s="269"/>
      <c r="F12" s="269"/>
    </row>
    <row r="13" spans="1:6">
      <c r="A13" s="122" t="s">
        <v>92</v>
      </c>
      <c r="B13" s="123" t="s">
        <v>93</v>
      </c>
      <c r="C13" s="124">
        <v>0</v>
      </c>
      <c r="D13" s="124">
        <v>0</v>
      </c>
      <c r="E13" s="124">
        <v>0.2</v>
      </c>
      <c r="F13" s="124">
        <v>0.2</v>
      </c>
    </row>
    <row r="14" spans="1:6">
      <c r="A14" s="125" t="s">
        <v>94</v>
      </c>
      <c r="B14" s="126" t="s">
        <v>95</v>
      </c>
      <c r="C14" s="127">
        <v>1.4999999999999999E-2</v>
      </c>
      <c r="D14" s="127">
        <v>1.4999999999999999E-2</v>
      </c>
      <c r="E14" s="127">
        <v>1.4999999999999999E-2</v>
      </c>
      <c r="F14" s="127">
        <v>1.4999999999999999E-2</v>
      </c>
    </row>
    <row r="15" spans="1:6">
      <c r="A15" s="122" t="s">
        <v>96</v>
      </c>
      <c r="B15" s="123" t="s">
        <v>97</v>
      </c>
      <c r="C15" s="124">
        <v>0.01</v>
      </c>
      <c r="D15" s="124">
        <v>0.01</v>
      </c>
      <c r="E15" s="124">
        <v>0.01</v>
      </c>
      <c r="F15" s="124">
        <v>0.01</v>
      </c>
    </row>
    <row r="16" spans="1:6">
      <c r="A16" s="125" t="s">
        <v>98</v>
      </c>
      <c r="B16" s="126" t="s">
        <v>99</v>
      </c>
      <c r="C16" s="127">
        <v>2E-3</v>
      </c>
      <c r="D16" s="127">
        <v>2E-3</v>
      </c>
      <c r="E16" s="127">
        <v>2E-3</v>
      </c>
      <c r="F16" s="127">
        <v>2E-3</v>
      </c>
    </row>
    <row r="17" spans="1:6">
      <c r="A17" s="122" t="s">
        <v>100</v>
      </c>
      <c r="B17" s="123" t="s">
        <v>101</v>
      </c>
      <c r="C17" s="124">
        <v>6.0000000000000001E-3</v>
      </c>
      <c r="D17" s="124">
        <v>6.0000000000000001E-3</v>
      </c>
      <c r="E17" s="124">
        <v>6.0000000000000001E-3</v>
      </c>
      <c r="F17" s="124">
        <v>6.0000000000000001E-3</v>
      </c>
    </row>
    <row r="18" spans="1:6">
      <c r="A18" s="125" t="s">
        <v>102</v>
      </c>
      <c r="B18" s="126" t="s">
        <v>103</v>
      </c>
      <c r="C18" s="127">
        <v>2.5000000000000001E-2</v>
      </c>
      <c r="D18" s="127">
        <v>2.5000000000000001E-2</v>
      </c>
      <c r="E18" s="127">
        <v>2.5000000000000001E-2</v>
      </c>
      <c r="F18" s="127">
        <v>2.5000000000000001E-2</v>
      </c>
    </row>
    <row r="19" spans="1:6">
      <c r="A19" s="122" t="s">
        <v>104</v>
      </c>
      <c r="B19" s="123" t="s">
        <v>105</v>
      </c>
      <c r="C19" s="124">
        <v>0.03</v>
      </c>
      <c r="D19" s="124">
        <v>0.03</v>
      </c>
      <c r="E19" s="124">
        <v>0.03</v>
      </c>
      <c r="F19" s="124">
        <v>0.03</v>
      </c>
    </row>
    <row r="20" spans="1:6">
      <c r="A20" s="125" t="s">
        <v>106</v>
      </c>
      <c r="B20" s="126" t="s">
        <v>107</v>
      </c>
      <c r="C20" s="127">
        <v>0.08</v>
      </c>
      <c r="D20" s="127">
        <v>0.08</v>
      </c>
      <c r="E20" s="127">
        <v>0.08</v>
      </c>
      <c r="F20" s="127">
        <v>0.08</v>
      </c>
    </row>
    <row r="21" spans="1:6">
      <c r="A21" s="122" t="s">
        <v>108</v>
      </c>
      <c r="B21" s="123" t="s">
        <v>109</v>
      </c>
      <c r="C21" s="124">
        <v>0</v>
      </c>
      <c r="D21" s="124">
        <v>0</v>
      </c>
      <c r="E21" s="124">
        <v>0</v>
      </c>
      <c r="F21" s="124">
        <v>0</v>
      </c>
    </row>
    <row r="22" spans="1:6">
      <c r="A22" s="128" t="s">
        <v>110</v>
      </c>
      <c r="B22" s="128" t="s">
        <v>111</v>
      </c>
      <c r="C22" s="129">
        <f>SUM(C13:C21)</f>
        <v>0.16799999999999998</v>
      </c>
      <c r="D22" s="129">
        <f>SUM(D13:D21)</f>
        <v>0.16799999999999998</v>
      </c>
      <c r="E22" s="129">
        <f>SUM(E13:E21)</f>
        <v>0.36800000000000005</v>
      </c>
      <c r="F22" s="129">
        <f>SUM(F13:F21)</f>
        <v>0.36800000000000005</v>
      </c>
    </row>
    <row r="23" spans="1:6">
      <c r="A23" s="267" t="s">
        <v>112</v>
      </c>
      <c r="B23" s="267"/>
      <c r="C23" s="267"/>
      <c r="D23" s="267"/>
      <c r="E23" s="267"/>
      <c r="F23" s="267"/>
    </row>
    <row r="24" spans="1:6">
      <c r="A24" s="122" t="s">
        <v>113</v>
      </c>
      <c r="B24" s="123" t="s">
        <v>114</v>
      </c>
      <c r="C24" s="124">
        <v>0.17780000000000001</v>
      </c>
      <c r="D24" s="124" t="s">
        <v>115</v>
      </c>
      <c r="E24" s="124">
        <v>0.17780000000000001</v>
      </c>
      <c r="F24" s="124" t="s">
        <v>115</v>
      </c>
    </row>
    <row r="25" spans="1:6">
      <c r="A25" s="125" t="s">
        <v>116</v>
      </c>
      <c r="B25" s="126" t="s">
        <v>117</v>
      </c>
      <c r="C25" s="127">
        <v>3.6700000000000003E-2</v>
      </c>
      <c r="D25" s="127" t="s">
        <v>115</v>
      </c>
      <c r="E25" s="127">
        <v>3.6700000000000003E-2</v>
      </c>
      <c r="F25" s="127" t="s">
        <v>115</v>
      </c>
    </row>
    <row r="26" spans="1:6">
      <c r="A26" s="122" t="s">
        <v>118</v>
      </c>
      <c r="B26" s="123" t="s">
        <v>119</v>
      </c>
      <c r="C26" s="124">
        <v>8.9999999999999993E-3</v>
      </c>
      <c r="D26" s="124">
        <v>6.8999999999999999E-3</v>
      </c>
      <c r="E26" s="124">
        <v>8.9999999999999993E-3</v>
      </c>
      <c r="F26" s="124">
        <v>6.8999999999999999E-3</v>
      </c>
    </row>
    <row r="27" spans="1:6">
      <c r="A27" s="125" t="s">
        <v>120</v>
      </c>
      <c r="B27" s="126" t="s">
        <v>121</v>
      </c>
      <c r="C27" s="127">
        <v>0.1085</v>
      </c>
      <c r="D27" s="127">
        <v>8.3299999999999999E-2</v>
      </c>
      <c r="E27" s="127">
        <v>0.1085</v>
      </c>
      <c r="F27" s="127">
        <v>8.3299999999999999E-2</v>
      </c>
    </row>
    <row r="28" spans="1:6">
      <c r="A28" s="122" t="s">
        <v>122</v>
      </c>
      <c r="B28" s="123" t="s">
        <v>123</v>
      </c>
      <c r="C28" s="124">
        <v>6.9999999999999999E-4</v>
      </c>
      <c r="D28" s="124">
        <v>5.9999999999999995E-4</v>
      </c>
      <c r="E28" s="124">
        <v>6.9999999999999999E-4</v>
      </c>
      <c r="F28" s="124">
        <v>5.9999999999999995E-4</v>
      </c>
    </row>
    <row r="29" spans="1:6">
      <c r="A29" s="125" t="s">
        <v>124</v>
      </c>
      <c r="B29" s="126" t="s">
        <v>125</v>
      </c>
      <c r="C29" s="127">
        <v>7.1999999999999998E-3</v>
      </c>
      <c r="D29" s="127">
        <v>5.5999999999999999E-3</v>
      </c>
      <c r="E29" s="127">
        <v>7.1999999999999998E-3</v>
      </c>
      <c r="F29" s="127">
        <v>5.5999999999999999E-3</v>
      </c>
    </row>
    <row r="30" spans="1:6">
      <c r="A30" s="122" t="s">
        <v>126</v>
      </c>
      <c r="B30" s="123" t="s">
        <v>127</v>
      </c>
      <c r="C30" s="124">
        <v>1.15E-2</v>
      </c>
      <c r="D30" s="124" t="s">
        <v>115</v>
      </c>
      <c r="E30" s="124">
        <v>1.15E-2</v>
      </c>
      <c r="F30" s="124" t="s">
        <v>115</v>
      </c>
    </row>
    <row r="31" spans="1:6">
      <c r="A31" s="125" t="s">
        <v>128</v>
      </c>
      <c r="B31" s="126" t="s">
        <v>129</v>
      </c>
      <c r="C31" s="127">
        <v>1.1000000000000001E-3</v>
      </c>
      <c r="D31" s="127">
        <v>8.9999999999999998E-4</v>
      </c>
      <c r="E31" s="127">
        <v>1.1000000000000001E-3</v>
      </c>
      <c r="F31" s="127">
        <v>8.9999999999999998E-4</v>
      </c>
    </row>
    <row r="32" spans="1:6">
      <c r="A32" s="122" t="s">
        <v>130</v>
      </c>
      <c r="B32" s="123" t="s">
        <v>131</v>
      </c>
      <c r="C32" s="124">
        <v>0.1022</v>
      </c>
      <c r="D32" s="124">
        <v>7.85E-2</v>
      </c>
      <c r="E32" s="124">
        <v>0.1022</v>
      </c>
      <c r="F32" s="124">
        <v>7.85E-2</v>
      </c>
    </row>
    <row r="33" spans="1:6">
      <c r="A33" s="125" t="s">
        <v>132</v>
      </c>
      <c r="B33" s="126" t="s">
        <v>133</v>
      </c>
      <c r="C33" s="127">
        <v>2.9999999999999997E-4</v>
      </c>
      <c r="D33" s="127">
        <v>2.9999999999999997E-4</v>
      </c>
      <c r="E33" s="127">
        <v>2.9999999999999997E-4</v>
      </c>
      <c r="F33" s="127">
        <v>2.9999999999999997E-4</v>
      </c>
    </row>
    <row r="34" spans="1:6">
      <c r="A34" s="130" t="s">
        <v>134</v>
      </c>
      <c r="B34" s="130" t="s">
        <v>111</v>
      </c>
      <c r="C34" s="121">
        <f>SUM(C24:C33)</f>
        <v>0.45500000000000002</v>
      </c>
      <c r="D34" s="121">
        <f>SUM(D24:D33)</f>
        <v>0.17610000000000001</v>
      </c>
      <c r="E34" s="121">
        <f>SUM(E24:E33)</f>
        <v>0.45500000000000002</v>
      </c>
      <c r="F34" s="121">
        <f>SUM(F24:F33)</f>
        <v>0.17610000000000001</v>
      </c>
    </row>
    <row r="35" spans="1:6">
      <c r="A35" s="267" t="s">
        <v>135</v>
      </c>
      <c r="B35" s="267"/>
      <c r="C35" s="267"/>
      <c r="D35" s="267"/>
      <c r="E35" s="267"/>
      <c r="F35" s="267"/>
    </row>
    <row r="36" spans="1:6">
      <c r="A36" s="122" t="s">
        <v>136</v>
      </c>
      <c r="B36" s="123" t="s">
        <v>137</v>
      </c>
      <c r="C36" s="124">
        <v>5.96E-2</v>
      </c>
      <c r="D36" s="124">
        <v>4.58E-2</v>
      </c>
      <c r="E36" s="124">
        <v>5.96E-2</v>
      </c>
      <c r="F36" s="124">
        <v>4.58E-2</v>
      </c>
    </row>
    <row r="37" spans="1:6">
      <c r="A37" s="125" t="s">
        <v>138</v>
      </c>
      <c r="B37" s="126" t="s">
        <v>139</v>
      </c>
      <c r="C37" s="127">
        <v>1.4E-3</v>
      </c>
      <c r="D37" s="127">
        <v>1.1000000000000001E-3</v>
      </c>
      <c r="E37" s="127">
        <v>1.4E-3</v>
      </c>
      <c r="F37" s="127">
        <v>1.1000000000000001E-3</v>
      </c>
    </row>
    <row r="38" spans="1:6">
      <c r="A38" s="122" t="s">
        <v>140</v>
      </c>
      <c r="B38" s="123" t="s">
        <v>141</v>
      </c>
      <c r="C38" s="124">
        <v>3.3399999999999999E-2</v>
      </c>
      <c r="D38" s="124">
        <v>2.5700000000000001E-2</v>
      </c>
      <c r="E38" s="124">
        <v>3.3399999999999999E-2</v>
      </c>
      <c r="F38" s="124">
        <v>2.5700000000000001E-2</v>
      </c>
    </row>
    <row r="39" spans="1:6">
      <c r="A39" s="125" t="s">
        <v>142</v>
      </c>
      <c r="B39" s="126" t="s">
        <v>143</v>
      </c>
      <c r="C39" s="127">
        <v>4.5999999999999999E-2</v>
      </c>
      <c r="D39" s="127">
        <v>3.5400000000000001E-2</v>
      </c>
      <c r="E39" s="127">
        <v>4.5999999999999999E-2</v>
      </c>
      <c r="F39" s="127">
        <v>3.5400000000000001E-2</v>
      </c>
    </row>
    <row r="40" spans="1:6">
      <c r="A40" s="122" t="s">
        <v>144</v>
      </c>
      <c r="B40" s="123" t="s">
        <v>145</v>
      </c>
      <c r="C40" s="124">
        <v>5.0000000000000001E-3</v>
      </c>
      <c r="D40" s="124">
        <v>3.8999999999999998E-3</v>
      </c>
      <c r="E40" s="124">
        <v>5.0000000000000001E-3</v>
      </c>
      <c r="F40" s="124">
        <v>3.8999999999999998E-3</v>
      </c>
    </row>
    <row r="41" spans="1:6">
      <c r="A41" s="128" t="s">
        <v>146</v>
      </c>
      <c r="B41" s="131" t="s">
        <v>111</v>
      </c>
      <c r="C41" s="129">
        <f>SUM(C36:C40)</f>
        <v>0.1454</v>
      </c>
      <c r="D41" s="129">
        <f>SUM(D36:D40)</f>
        <v>0.1119</v>
      </c>
      <c r="E41" s="129">
        <f>SUM(E36:E40)</f>
        <v>0.1454</v>
      </c>
      <c r="F41" s="129">
        <f>SUM(F36:F40)</f>
        <v>0.1119</v>
      </c>
    </row>
    <row r="42" spans="1:6">
      <c r="A42" s="267" t="s">
        <v>147</v>
      </c>
      <c r="B42" s="267"/>
      <c r="C42" s="267"/>
      <c r="D42" s="267"/>
      <c r="E42" s="267"/>
      <c r="F42" s="267"/>
    </row>
    <row r="43" spans="1:6">
      <c r="A43" s="122" t="s">
        <v>148</v>
      </c>
      <c r="B43" s="123" t="s">
        <v>149</v>
      </c>
      <c r="C43" s="124">
        <v>7.6399999999999996E-2</v>
      </c>
      <c r="D43" s="124">
        <v>2.9600000000000001E-2</v>
      </c>
      <c r="E43" s="124">
        <v>0.16739999999999999</v>
      </c>
      <c r="F43" s="124">
        <v>6.4799999999999996E-2</v>
      </c>
    </row>
    <row r="44" spans="1:6" ht="38.25">
      <c r="A44" s="125" t="s">
        <v>150</v>
      </c>
      <c r="B44" s="132" t="s">
        <v>151</v>
      </c>
      <c r="C44" s="127">
        <v>5.0000000000000001E-3</v>
      </c>
      <c r="D44" s="127">
        <v>3.8E-3</v>
      </c>
      <c r="E44" s="127">
        <v>5.3E-3</v>
      </c>
      <c r="F44" s="127">
        <v>4.1000000000000003E-3</v>
      </c>
    </row>
    <row r="45" spans="1:6">
      <c r="A45" s="130" t="s">
        <v>152</v>
      </c>
      <c r="B45" s="130" t="s">
        <v>111</v>
      </c>
      <c r="C45" s="121">
        <f>SUM(C43:C44)</f>
        <v>8.14E-2</v>
      </c>
      <c r="D45" s="121">
        <f>SUM(D43:D44)</f>
        <v>3.3399999999999999E-2</v>
      </c>
      <c r="E45" s="121">
        <f>SUM(E43:E44)</f>
        <v>0.17269999999999999</v>
      </c>
      <c r="F45" s="121">
        <f>SUM(F43:F44)</f>
        <v>6.8900000000000003E-2</v>
      </c>
    </row>
    <row r="46" spans="1:6">
      <c r="A46" s="267" t="s">
        <v>153</v>
      </c>
      <c r="B46" s="267"/>
      <c r="C46" s="133">
        <f>C22+C34+C41+C45</f>
        <v>0.8498</v>
      </c>
      <c r="D46" s="133">
        <f>D22+D34+D41+D45</f>
        <v>0.48939999999999995</v>
      </c>
      <c r="E46" s="133">
        <f>E22+E34+E41+E45</f>
        <v>1.1411</v>
      </c>
      <c r="F46" s="133">
        <f>F22+F34+F41+F45</f>
        <v>0.72489999999999999</v>
      </c>
    </row>
    <row r="47" spans="1:6">
      <c r="A47" s="268" t="s">
        <v>154</v>
      </c>
      <c r="B47" s="268"/>
    </row>
  </sheetData>
  <mergeCells count="17">
    <mergeCell ref="A12:F12"/>
    <mergeCell ref="A1:F2"/>
    <mergeCell ref="A3:F3"/>
    <mergeCell ref="A4:F4"/>
    <mergeCell ref="A5:F5"/>
    <mergeCell ref="A6:F6"/>
    <mergeCell ref="A7:F7"/>
    <mergeCell ref="A8:F8"/>
    <mergeCell ref="A9:A11"/>
    <mergeCell ref="B9:B11"/>
    <mergeCell ref="C9:D9"/>
    <mergeCell ref="E9:F9"/>
    <mergeCell ref="A23:F23"/>
    <mergeCell ref="A35:F35"/>
    <mergeCell ref="A42:F42"/>
    <mergeCell ref="A46:B46"/>
    <mergeCell ref="A47:B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workbookViewId="0">
      <selection activeCell="C24" sqref="A1:C24"/>
    </sheetView>
  </sheetViews>
  <sheetFormatPr defaultColWidth="8.85546875" defaultRowHeight="12.75"/>
  <cols>
    <col min="1" max="1" width="49.28515625" style="135" customWidth="1"/>
    <col min="2" max="2" width="33.42578125" style="135" customWidth="1"/>
    <col min="3" max="3" width="15" style="135" customWidth="1"/>
    <col min="4" max="16384" width="8.85546875" style="135"/>
  </cols>
  <sheetData>
    <row r="1" spans="1:3" ht="97.5" customHeight="1">
      <c r="A1" s="290" t="s">
        <v>314</v>
      </c>
      <c r="B1" s="291"/>
      <c r="C1" s="292"/>
    </row>
    <row r="2" spans="1:3" ht="22.5" customHeight="1">
      <c r="A2" s="293" t="s">
        <v>315</v>
      </c>
      <c r="B2" s="294"/>
      <c r="C2" s="295"/>
    </row>
    <row r="3" spans="1:3" ht="11.85" customHeight="1">
      <c r="A3" s="296" t="s">
        <v>155</v>
      </c>
      <c r="B3" s="297"/>
      <c r="C3" s="136" t="s">
        <v>156</v>
      </c>
    </row>
    <row r="4" spans="1:3" ht="11.85" customHeight="1">
      <c r="A4" s="137" t="s">
        <v>157</v>
      </c>
      <c r="B4" s="138"/>
      <c r="C4" s="139">
        <v>0.04</v>
      </c>
    </row>
    <row r="5" spans="1:3" ht="11.85" customHeight="1">
      <c r="A5" s="140" t="s">
        <v>158</v>
      </c>
      <c r="B5" s="141"/>
      <c r="C5" s="142">
        <v>1.23E-2</v>
      </c>
    </row>
    <row r="6" spans="1:3" ht="11.85" customHeight="1">
      <c r="A6" s="140" t="s">
        <v>159</v>
      </c>
      <c r="B6" s="141"/>
      <c r="C6" s="142">
        <v>1.2699999999999999E-2</v>
      </c>
    </row>
    <row r="7" spans="1:3" ht="11.85" customHeight="1">
      <c r="A7" s="140" t="s">
        <v>160</v>
      </c>
      <c r="B7" s="141"/>
      <c r="C7" s="142">
        <v>8.0000000000000002E-3</v>
      </c>
    </row>
    <row r="8" spans="1:3" ht="11.85" customHeight="1">
      <c r="A8" s="140" t="s">
        <v>161</v>
      </c>
      <c r="B8" s="141"/>
      <c r="C8" s="142">
        <v>0</v>
      </c>
    </row>
    <row r="9" spans="1:3" ht="11.85" customHeight="1">
      <c r="A9" s="298" t="s">
        <v>162</v>
      </c>
      <c r="B9" s="299"/>
      <c r="C9" s="143">
        <f>SUM(C4:C8)</f>
        <v>7.3000000000000009E-2</v>
      </c>
    </row>
    <row r="10" spans="1:3" ht="11.85" customHeight="1">
      <c r="A10" s="300" t="s">
        <v>163</v>
      </c>
      <c r="B10" s="301"/>
      <c r="C10" s="144" t="s">
        <v>156</v>
      </c>
    </row>
    <row r="11" spans="1:3" ht="11.85" customHeight="1">
      <c r="A11" s="140" t="s">
        <v>164</v>
      </c>
      <c r="B11" s="141"/>
      <c r="C11" s="142">
        <v>7.3999999999999996E-2</v>
      </c>
    </row>
    <row r="12" spans="1:3" ht="11.85" customHeight="1">
      <c r="A12" s="298" t="s">
        <v>162</v>
      </c>
      <c r="B12" s="299"/>
      <c r="C12" s="143">
        <f>SUM(C11)</f>
        <v>7.3999999999999996E-2</v>
      </c>
    </row>
    <row r="13" spans="1:3" ht="11.85" customHeight="1">
      <c r="A13" s="302"/>
      <c r="B13" s="303"/>
      <c r="C13" s="141"/>
    </row>
    <row r="14" spans="1:3" ht="11.85" customHeight="1">
      <c r="A14" s="300" t="s">
        <v>165</v>
      </c>
      <c r="B14" s="301"/>
      <c r="C14" s="144" t="s">
        <v>156</v>
      </c>
    </row>
    <row r="15" spans="1:3" ht="11.85" customHeight="1">
      <c r="A15" s="140" t="s">
        <v>166</v>
      </c>
      <c r="B15" s="141"/>
      <c r="C15" s="142">
        <v>6.4999999999999997E-3</v>
      </c>
    </row>
    <row r="16" spans="1:3" ht="11.85" customHeight="1">
      <c r="A16" s="140" t="s">
        <v>167</v>
      </c>
      <c r="B16" s="141"/>
      <c r="C16" s="142">
        <v>0.03</v>
      </c>
    </row>
    <row r="17" spans="1:8" ht="11.85" customHeight="1">
      <c r="A17" s="140" t="s">
        <v>168</v>
      </c>
      <c r="B17" s="141"/>
      <c r="C17" s="142">
        <v>1.4999999999999999E-2</v>
      </c>
    </row>
    <row r="18" spans="1:8" ht="11.85" customHeight="1">
      <c r="A18" s="140" t="s">
        <v>169</v>
      </c>
      <c r="B18" s="141"/>
      <c r="C18" s="142">
        <v>4.4999999999999998E-2</v>
      </c>
    </row>
    <row r="19" spans="1:8" ht="11.85" customHeight="1">
      <c r="A19" s="298" t="s">
        <v>162</v>
      </c>
      <c r="B19" s="299"/>
      <c r="C19" s="143">
        <f>SUM(C15:C18)</f>
        <v>9.6500000000000002E-2</v>
      </c>
      <c r="F19" s="135">
        <f>(1+C4+C7+C6+C8)*(1+C5)*(1+C11)/(1-C19)-1</f>
        <v>0.27637394481460986</v>
      </c>
      <c r="G19" s="135">
        <v>100</v>
      </c>
      <c r="H19" s="135">
        <f>(F19*G19)</f>
        <v>27.637394481460987</v>
      </c>
    </row>
    <row r="20" spans="1:8" ht="11.85" customHeight="1">
      <c r="A20" s="302"/>
      <c r="B20" s="304"/>
      <c r="C20" s="303"/>
    </row>
    <row r="21" spans="1:8" ht="39.200000000000003" customHeight="1">
      <c r="A21" s="305"/>
      <c r="B21" s="306"/>
      <c r="C21" s="145"/>
    </row>
    <row r="22" spans="1:8" ht="11.85" customHeight="1">
      <c r="A22" s="288" t="s">
        <v>170</v>
      </c>
      <c r="B22" s="289"/>
      <c r="C22" s="143">
        <v>0.27629999999999999</v>
      </c>
    </row>
    <row r="24" spans="1:8">
      <c r="A24" s="146" t="s">
        <v>171</v>
      </c>
    </row>
  </sheetData>
  <mergeCells count="12">
    <mergeCell ref="A22:B22"/>
    <mergeCell ref="A1:C1"/>
    <mergeCell ref="A2:C2"/>
    <mergeCell ref="A3:B3"/>
    <mergeCell ref="A9:B9"/>
    <mergeCell ref="A10:B10"/>
    <mergeCell ref="A12:B12"/>
    <mergeCell ref="A13:B13"/>
    <mergeCell ref="A14:B14"/>
    <mergeCell ref="A19:B19"/>
    <mergeCell ref="A20:C20"/>
    <mergeCell ref="A21:B21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2"/>
  <dimension ref="A5:G81"/>
  <sheetViews>
    <sheetView workbookViewId="0">
      <selection activeCell="A78" sqref="A78"/>
    </sheetView>
  </sheetViews>
  <sheetFormatPr defaultRowHeight="12.75"/>
  <cols>
    <col min="1" max="1" width="33" bestFit="1" customWidth="1"/>
    <col min="2" max="2" width="23.28515625" bestFit="1" customWidth="1"/>
    <col min="3" max="3" width="9.5703125" bestFit="1" customWidth="1"/>
  </cols>
  <sheetData>
    <row r="5" spans="1:5">
      <c r="A5" t="s">
        <v>42</v>
      </c>
      <c r="B5" t="s">
        <v>43</v>
      </c>
      <c r="C5" t="s">
        <v>44</v>
      </c>
      <c r="D5" t="s">
        <v>45</v>
      </c>
    </row>
    <row r="6" spans="1:5">
      <c r="B6">
        <v>1.25</v>
      </c>
      <c r="C6">
        <v>2.5</v>
      </c>
      <c r="D6">
        <f>TRUNC(B6*C6,2)</f>
        <v>3.12</v>
      </c>
    </row>
    <row r="12" spans="1:5">
      <c r="A12" t="s">
        <v>35</v>
      </c>
      <c r="B12" t="s">
        <v>36</v>
      </c>
    </row>
    <row r="13" spans="1:5">
      <c r="B13" t="s">
        <v>37</v>
      </c>
    </row>
    <row r="14" spans="1:5">
      <c r="B14" t="s">
        <v>38</v>
      </c>
      <c r="C14">
        <v>77.599999999999994</v>
      </c>
      <c r="D14">
        <v>4</v>
      </c>
      <c r="E14">
        <f>C14*D14</f>
        <v>310.39999999999998</v>
      </c>
    </row>
    <row r="15" spans="1:5">
      <c r="B15" t="s">
        <v>40</v>
      </c>
      <c r="E15">
        <v>2.2000000000000002</v>
      </c>
    </row>
    <row r="16" spans="1:5">
      <c r="C16" t="s">
        <v>41</v>
      </c>
      <c r="E16">
        <f>E14*E15</f>
        <v>682.88</v>
      </c>
    </row>
    <row r="19" spans="1:7">
      <c r="A19" s="10"/>
      <c r="C19" s="10"/>
      <c r="D19" s="10"/>
      <c r="E19" s="10"/>
    </row>
    <row r="20" spans="1:7">
      <c r="B20" s="10"/>
    </row>
    <row r="21" spans="1:7">
      <c r="B21" s="10"/>
    </row>
    <row r="22" spans="1:7">
      <c r="B22" s="10"/>
    </row>
    <row r="23" spans="1:7">
      <c r="B23" t="s">
        <v>60</v>
      </c>
      <c r="D23">
        <v>61.92</v>
      </c>
      <c r="E23" t="s">
        <v>61</v>
      </c>
      <c r="G23">
        <f>(D23*C26*C27)</f>
        <v>1.770912</v>
      </c>
    </row>
    <row r="25" spans="1:7">
      <c r="A25" s="10" t="s">
        <v>50</v>
      </c>
      <c r="B25" s="10" t="s">
        <v>47</v>
      </c>
      <c r="D25">
        <v>394.04</v>
      </c>
    </row>
    <row r="26" spans="1:7">
      <c r="B26" s="10" t="s">
        <v>46</v>
      </c>
      <c r="C26">
        <v>0.13</v>
      </c>
      <c r="D26">
        <f>TRUNC(D25*C26,2)</f>
        <v>51.22</v>
      </c>
    </row>
    <row r="27" spans="1:7">
      <c r="B27" s="10" t="s">
        <v>40</v>
      </c>
      <c r="C27">
        <v>0.22</v>
      </c>
      <c r="D27">
        <f>TRUNC(D25*C27,2)</f>
        <v>86.68</v>
      </c>
    </row>
    <row r="28" spans="1:7">
      <c r="B28" s="10" t="s">
        <v>48</v>
      </c>
      <c r="D28">
        <f>TRUNC(D26+D27,2)</f>
        <v>137.9</v>
      </c>
    </row>
    <row r="29" spans="1:7">
      <c r="B29" s="10"/>
      <c r="F29">
        <f>(D28+D33)</f>
        <v>307.58000000000004</v>
      </c>
    </row>
    <row r="30" spans="1:7">
      <c r="A30" s="10" t="s">
        <v>51</v>
      </c>
      <c r="B30" s="10" t="s">
        <v>47</v>
      </c>
      <c r="D30">
        <v>771.31</v>
      </c>
    </row>
    <row r="31" spans="1:7">
      <c r="B31" s="10" t="s">
        <v>46</v>
      </c>
      <c r="C31">
        <v>0.1</v>
      </c>
      <c r="D31">
        <f>TRUNC(D30*C31,2)</f>
        <v>77.13</v>
      </c>
    </row>
    <row r="32" spans="1:7">
      <c r="B32" s="10" t="s">
        <v>40</v>
      </c>
      <c r="C32">
        <v>0.12</v>
      </c>
      <c r="D32">
        <f>TRUNC(D30*C32,2)</f>
        <v>92.55</v>
      </c>
    </row>
    <row r="33" spans="1:5">
      <c r="B33" s="10" t="s">
        <v>48</v>
      </c>
      <c r="D33">
        <f>TRUNC(D31+D32,2)</f>
        <v>169.68</v>
      </c>
    </row>
    <row r="34" spans="1:5">
      <c r="B34" s="10" t="s">
        <v>49</v>
      </c>
      <c r="C34">
        <v>0</v>
      </c>
    </row>
    <row r="36" spans="1:5">
      <c r="A36" s="10" t="s">
        <v>59</v>
      </c>
      <c r="B36" t="s">
        <v>53</v>
      </c>
      <c r="C36">
        <v>160</v>
      </c>
      <c r="D36" s="10"/>
    </row>
    <row r="37" spans="1:5">
      <c r="B37" s="10" t="s">
        <v>54</v>
      </c>
      <c r="C37" s="56">
        <v>7.0000000000000007E-2</v>
      </c>
    </row>
    <row r="38" spans="1:5">
      <c r="B38" s="10" t="s">
        <v>49</v>
      </c>
      <c r="C38">
        <f>(C36*C37)</f>
        <v>11.200000000000001</v>
      </c>
    </row>
    <row r="39" spans="1:5">
      <c r="B39" s="10"/>
    </row>
    <row r="40" spans="1:5">
      <c r="A40" t="s">
        <v>55</v>
      </c>
      <c r="B40">
        <f>(C38+C34+G23+C60)</f>
        <v>23.357512000000003</v>
      </c>
    </row>
    <row r="41" spans="1:5">
      <c r="B41" s="10"/>
      <c r="C41" s="56"/>
    </row>
    <row r="42" spans="1:5">
      <c r="A42" t="s">
        <v>57</v>
      </c>
      <c r="B42" s="10"/>
    </row>
    <row r="43" spans="1:5">
      <c r="B43" t="s">
        <v>62</v>
      </c>
      <c r="C43">
        <v>311.44</v>
      </c>
    </row>
    <row r="44" spans="1:5">
      <c r="A44" s="10"/>
      <c r="B44" s="10" t="s">
        <v>56</v>
      </c>
      <c r="C44">
        <v>1024.57</v>
      </c>
    </row>
    <row r="45" spans="1:5">
      <c r="B45" s="10" t="s">
        <v>63</v>
      </c>
      <c r="C45">
        <v>160</v>
      </c>
    </row>
    <row r="46" spans="1:5">
      <c r="B46" s="10"/>
      <c r="C46">
        <f>(C45+C43+C44)</f>
        <v>1496.01</v>
      </c>
      <c r="D46" t="s">
        <v>49</v>
      </c>
      <c r="E46" s="56">
        <f>(C46*0.06)</f>
        <v>89.760599999999997</v>
      </c>
    </row>
    <row r="47" spans="1:5">
      <c r="B47" s="10"/>
    </row>
    <row r="48" spans="1:5">
      <c r="A48" t="s">
        <v>58</v>
      </c>
      <c r="B48">
        <f>3843.7+311.44+B66+B67</f>
        <v>4387.3599999999988</v>
      </c>
    </row>
    <row r="49" spans="1:5">
      <c r="A49" s="10"/>
      <c r="B49" s="10"/>
    </row>
    <row r="50" spans="1:5">
      <c r="B50" s="10"/>
    </row>
    <row r="51" spans="1:5">
      <c r="A51" t="s">
        <v>64</v>
      </c>
      <c r="B51" t="s">
        <v>65</v>
      </c>
      <c r="C51" s="56">
        <v>61.92</v>
      </c>
    </row>
    <row r="52" spans="1:5">
      <c r="B52" t="s">
        <v>66</v>
      </c>
      <c r="C52" s="56">
        <f>(C51*0.15*0.2)</f>
        <v>1.8576000000000001</v>
      </c>
    </row>
    <row r="54" spans="1:5">
      <c r="A54" s="10" t="s">
        <v>67</v>
      </c>
      <c r="B54" s="10" t="s">
        <v>68</v>
      </c>
      <c r="C54">
        <v>60</v>
      </c>
    </row>
    <row r="55" spans="1:5">
      <c r="B55" s="10" t="s">
        <v>40</v>
      </c>
      <c r="C55">
        <v>0.12</v>
      </c>
    </row>
    <row r="56" spans="1:5">
      <c r="B56" s="10" t="s">
        <v>69</v>
      </c>
      <c r="C56">
        <f>(C54*C55)</f>
        <v>7.1999999999999993</v>
      </c>
    </row>
    <row r="57" spans="1:5">
      <c r="B57" s="10"/>
    </row>
    <row r="58" spans="1:5">
      <c r="B58" s="10"/>
      <c r="C58" s="56"/>
    </row>
    <row r="59" spans="1:5">
      <c r="A59" t="s">
        <v>33</v>
      </c>
      <c r="B59" s="10" t="s">
        <v>69</v>
      </c>
      <c r="C59">
        <v>148.38</v>
      </c>
    </row>
    <row r="60" spans="1:5">
      <c r="B60" s="10" t="s">
        <v>49</v>
      </c>
      <c r="C60">
        <f>(C59*0.07)</f>
        <v>10.386600000000001</v>
      </c>
    </row>
    <row r="61" spans="1:5">
      <c r="A61" s="10"/>
    </row>
    <row r="62" spans="1:5">
      <c r="A62" s="10"/>
      <c r="B62" s="10"/>
      <c r="D62" s="10"/>
      <c r="E62" s="10"/>
    </row>
    <row r="63" spans="1:5">
      <c r="A63" s="10" t="s">
        <v>70</v>
      </c>
      <c r="B63" s="10"/>
      <c r="D63" s="10"/>
    </row>
    <row r="64" spans="1:5">
      <c r="A64" s="10"/>
      <c r="B64" s="10"/>
      <c r="D64" s="10"/>
    </row>
    <row r="65" spans="1:3">
      <c r="A65" t="s">
        <v>71</v>
      </c>
      <c r="B65">
        <f>(66.55*1)+(34.49*1.9)</f>
        <v>132.08100000000002</v>
      </c>
    </row>
    <row r="66" spans="1:3">
      <c r="A66" t="s">
        <v>72</v>
      </c>
      <c r="B66" s="10">
        <v>197.73</v>
      </c>
    </row>
    <row r="67" spans="1:3">
      <c r="A67" t="s">
        <v>73</v>
      </c>
      <c r="B67">
        <v>34.49</v>
      </c>
    </row>
    <row r="68" spans="1:3">
      <c r="A68" s="10"/>
      <c r="B68" s="10"/>
    </row>
    <row r="69" spans="1:3">
      <c r="B69" s="10"/>
    </row>
    <row r="70" spans="1:3">
      <c r="B70" s="10"/>
    </row>
    <row r="71" spans="1:3">
      <c r="A71" s="10" t="s">
        <v>74</v>
      </c>
      <c r="B71">
        <v>430.94</v>
      </c>
    </row>
    <row r="72" spans="1:3">
      <c r="B72" t="s">
        <v>75</v>
      </c>
      <c r="C72">
        <f>B71*0.15*0.15</f>
        <v>9.6961499999999976</v>
      </c>
    </row>
    <row r="76" spans="1:3">
      <c r="A76" t="s">
        <v>76</v>
      </c>
      <c r="B76" t="s">
        <v>77</v>
      </c>
    </row>
    <row r="77" spans="1:3">
      <c r="A77" t="s">
        <v>79</v>
      </c>
      <c r="B77">
        <v>5</v>
      </c>
    </row>
    <row r="80" spans="1:3">
      <c r="A80" t="s">
        <v>78</v>
      </c>
    </row>
    <row r="81" spans="1:1">
      <c r="A81">
        <f>1*0.5*5</f>
        <v>2.5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Orçamento</vt:lpstr>
      <vt:lpstr>RESUMO</vt:lpstr>
      <vt:lpstr>CRON</vt:lpstr>
      <vt:lpstr>ENCARGOS</vt:lpstr>
      <vt:lpstr>BDI</vt:lpstr>
      <vt:lpstr>Memória de Cálculo</vt:lpstr>
      <vt:lpstr>CRON!Area_de_impressao</vt:lpstr>
      <vt:lpstr>Orçamento!Area_de_impressao</vt:lpstr>
      <vt:lpstr>RESUMO!Area_de_impressao</vt:lpstr>
      <vt:lpstr>CRON!Titulos_de_impressao</vt:lpstr>
      <vt:lpstr>Orçamento!Titulos_de_impressao</vt:lpstr>
      <vt:lpstr>RESUMO!Titulos_de_impressao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USUARIO</cp:lastModifiedBy>
  <cp:lastPrinted>2020-03-02T20:34:45Z</cp:lastPrinted>
  <dcterms:created xsi:type="dcterms:W3CDTF">1998-04-12T12:31:25Z</dcterms:created>
  <dcterms:modified xsi:type="dcterms:W3CDTF">2020-03-02T20:35:03Z</dcterms:modified>
</cp:coreProperties>
</file>