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EstaPastaDeTrabalho"/>
  <mc:AlternateContent xmlns:mc="http://schemas.openxmlformats.org/markup-compatibility/2006">
    <mc:Choice Requires="x15">
      <x15ac:absPath xmlns:x15ac="http://schemas.microsoft.com/office/spreadsheetml/2010/11/ac" url="\\Licitação-pc\aplic-2020\LICITAÇOES 2020\TOMADA DE PREÇOS\001 - Revitalizaçao da Praça Vanildo Cordeiro de Souza\DOCUMENTOS\"/>
    </mc:Choice>
  </mc:AlternateContent>
  <bookViews>
    <workbookView xWindow="-120" yWindow="-120" windowWidth="20730" windowHeight="11160" tabRatio="601"/>
  </bookViews>
  <sheets>
    <sheet name="Orçamento" sheetId="19" r:id="rId1"/>
    <sheet name="RESUMO" sheetId="22" r:id="rId2"/>
    <sheet name="CRON" sheetId="21" r:id="rId3"/>
    <sheet name="ENCARGOS" sheetId="28" r:id="rId4"/>
    <sheet name="BDI" sheetId="29" r:id="rId5"/>
    <sheet name="Memória de Cálculo" sheetId="26" state="hidden" r:id="rId6"/>
    <sheet name="Composições" sheetId="27" r:id="rId7"/>
    <sheet name="COMPOSIÇÃO" sheetId="23" r:id="rId8"/>
  </sheets>
  <definedNames>
    <definedName name="_xlnm.Print_Area" localSheetId="7">COMPOSIÇÃO!$B$2:$I$13</definedName>
    <definedName name="_xlnm.Print_Area" localSheetId="2">CRON!$A$1:$J$58</definedName>
    <definedName name="_xlnm.Print_Area" localSheetId="0">Orçamento!$B$2:$L$98</definedName>
    <definedName name="_xlnm.Print_Area" localSheetId="1">RESUMO!$A$3:$F$51</definedName>
    <definedName name="_xlnm.Print_Titles" localSheetId="7">COMPOSIÇÃO!$3:$5</definedName>
    <definedName name="_xlnm.Print_Titles" localSheetId="2">CRON!$1:$6</definedName>
    <definedName name="_xlnm.Print_Titles" localSheetId="0">Orçamento!$B:$I,Orçamento!$2:$14</definedName>
    <definedName name="_xlnm.Print_Titles" localSheetId="1">RESUMO!$2:$6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53" i="19" l="1"/>
  <c r="H41" i="19"/>
  <c r="H52" i="19"/>
  <c r="H42" i="19"/>
  <c r="H40" i="19"/>
  <c r="H39" i="19"/>
  <c r="C19" i="29" l="1"/>
  <c r="F19" i="29" s="1"/>
  <c r="H19" i="29" s="1"/>
  <c r="C12" i="29"/>
  <c r="C9" i="29"/>
  <c r="F45" i="28"/>
  <c r="E45" i="28"/>
  <c r="D45" i="28"/>
  <c r="C45" i="28"/>
  <c r="F41" i="28"/>
  <c r="E41" i="28"/>
  <c r="D41" i="28"/>
  <c r="C41" i="28"/>
  <c r="F34" i="28"/>
  <c r="E34" i="28"/>
  <c r="D34" i="28"/>
  <c r="C34" i="28"/>
  <c r="F22" i="28"/>
  <c r="F46" i="28" s="1"/>
  <c r="E22" i="28"/>
  <c r="E46" i="28" s="1"/>
  <c r="D22" i="28"/>
  <c r="D46" i="28" s="1"/>
  <c r="C22" i="28"/>
  <c r="C46" i="28" s="1"/>
  <c r="E51" i="22" l="1"/>
  <c r="D48" i="22" s="1"/>
  <c r="B4" i="21"/>
  <c r="B6" i="22"/>
  <c r="I52" i="21"/>
  <c r="H52" i="21"/>
  <c r="F52" i="21"/>
  <c r="F53" i="21" s="1"/>
  <c r="G52" i="21"/>
  <c r="H39" i="21"/>
  <c r="I39" i="21"/>
  <c r="G90" i="27"/>
  <c r="G83" i="27"/>
  <c r="G84" i="27"/>
  <c r="G85" i="27"/>
  <c r="G86" i="27"/>
  <c r="G87" i="27"/>
  <c r="G89" i="27"/>
  <c r="G82" i="27"/>
  <c r="H86" i="19"/>
  <c r="I86" i="19" s="1"/>
  <c r="D14" i="22" l="1"/>
  <c r="D27" i="22"/>
  <c r="D39" i="22"/>
  <c r="D18" i="22"/>
  <c r="D42" i="22"/>
  <c r="D10" i="22"/>
  <c r="D21" i="22"/>
  <c r="D33" i="22"/>
  <c r="D45" i="22"/>
  <c r="D30" i="22"/>
  <c r="D12" i="22"/>
  <c r="D24" i="22"/>
  <c r="D36" i="22"/>
  <c r="H59" i="19" l="1"/>
  <c r="I59" i="19" s="1"/>
  <c r="H60" i="19"/>
  <c r="I60" i="19" s="1"/>
  <c r="H61" i="19"/>
  <c r="I61" i="19" s="1"/>
  <c r="I53" i="19"/>
  <c r="I52" i="19"/>
  <c r="F61" i="19"/>
  <c r="F60" i="19"/>
  <c r="F59" i="19"/>
  <c r="H57" i="19"/>
  <c r="H58" i="19"/>
  <c r="F58" i="19"/>
  <c r="F57" i="19"/>
  <c r="G62" i="19"/>
  <c r="H56" i="19"/>
  <c r="I56" i="19" s="1"/>
  <c r="H51" i="19"/>
  <c r="I51" i="19" s="1"/>
  <c r="H50" i="19"/>
  <c r="I50" i="19" s="1"/>
  <c r="H49" i="19"/>
  <c r="I49" i="19" s="1"/>
  <c r="H38" i="19"/>
  <c r="I38" i="19" s="1"/>
  <c r="I40" i="19"/>
  <c r="H45" i="19"/>
  <c r="I45" i="19" s="1"/>
  <c r="I46" i="19" s="1"/>
  <c r="H48" i="19"/>
  <c r="I48" i="19" s="1"/>
  <c r="G54" i="19"/>
  <c r="G46" i="19"/>
  <c r="G43" i="19"/>
  <c r="H33" i="19"/>
  <c r="I33" i="19" s="1"/>
  <c r="F41" i="19"/>
  <c r="F39" i="19"/>
  <c r="I54" i="19" l="1"/>
  <c r="I58" i="19"/>
  <c r="I57" i="19"/>
  <c r="I39" i="19"/>
  <c r="I41" i="19"/>
  <c r="I42" i="19"/>
  <c r="I62" i="19" l="1"/>
  <c r="I43" i="19"/>
  <c r="G36" i="19" l="1"/>
  <c r="H35" i="19" l="1"/>
  <c r="I35" i="19" s="1"/>
  <c r="H31" i="19"/>
  <c r="I31" i="19" s="1"/>
  <c r="H32" i="19"/>
  <c r="H34" i="19"/>
  <c r="I34" i="19" s="1"/>
  <c r="H30" i="19"/>
  <c r="I30" i="19" s="1"/>
  <c r="H24" i="19"/>
  <c r="H19" i="19"/>
  <c r="F32" i="19"/>
  <c r="I36" i="19" l="1"/>
  <c r="I32" i="19"/>
  <c r="A81" i="26"/>
  <c r="C72" i="26" l="1"/>
  <c r="H27" i="19"/>
  <c r="I27" i="19" s="1"/>
  <c r="H92" i="19" l="1"/>
  <c r="I92" i="19" s="1"/>
  <c r="H74" i="19"/>
  <c r="I74" i="19" s="1"/>
  <c r="H91" i="19"/>
  <c r="I91" i="19" s="1"/>
  <c r="B48" i="26" l="1"/>
  <c r="H72" i="19"/>
  <c r="I72" i="19" s="1"/>
  <c r="B65" i="26"/>
  <c r="G78" i="19" l="1"/>
  <c r="H77" i="19"/>
  <c r="I77" i="19" s="1"/>
  <c r="I78" i="19" s="1"/>
  <c r="C60" i="26"/>
  <c r="C56" i="26"/>
  <c r="C38" i="26"/>
  <c r="C52" i="26" l="1"/>
  <c r="H67" i="19"/>
  <c r="I67" i="19" s="1"/>
  <c r="C46" i="26" l="1"/>
  <c r="E46" i="26" s="1"/>
  <c r="H89" i="19"/>
  <c r="I89" i="19" s="1"/>
  <c r="G70" i="27" l="1"/>
  <c r="G75" i="27"/>
  <c r="G74" i="27"/>
  <c r="G72" i="27"/>
  <c r="G71" i="27"/>
  <c r="H85" i="19"/>
  <c r="I85" i="19" s="1"/>
  <c r="G87" i="19"/>
  <c r="G23" i="26"/>
  <c r="B40" i="26" s="1"/>
  <c r="G76" i="27" l="1"/>
  <c r="H73" i="19"/>
  <c r="I73" i="19" s="1"/>
  <c r="G17" i="27" l="1"/>
  <c r="H84" i="19"/>
  <c r="I84" i="19" s="1"/>
  <c r="H83" i="19"/>
  <c r="I83" i="19" s="1"/>
  <c r="H82" i="19"/>
  <c r="I82" i="19" s="1"/>
  <c r="H81" i="19"/>
  <c r="I81" i="19" s="1"/>
  <c r="H80" i="19"/>
  <c r="I80" i="19" s="1"/>
  <c r="K80" i="19"/>
  <c r="K81" i="19"/>
  <c r="H26" i="19"/>
  <c r="I26" i="19" s="1"/>
  <c r="G58" i="27"/>
  <c r="G59" i="27"/>
  <c r="H90" i="19"/>
  <c r="G62" i="27"/>
  <c r="G61" i="27"/>
  <c r="G57" i="27"/>
  <c r="D32" i="26"/>
  <c r="D31" i="26"/>
  <c r="I87" i="19" l="1"/>
  <c r="G63" i="27"/>
  <c r="D33" i="26"/>
  <c r="H25" i="19" l="1"/>
  <c r="I25" i="19" s="1"/>
  <c r="D27" i="26"/>
  <c r="D26" i="26"/>
  <c r="G45" i="27"/>
  <c r="G44" i="27"/>
  <c r="G47" i="27"/>
  <c r="G48" i="27"/>
  <c r="G46" i="27"/>
  <c r="G43" i="27"/>
  <c r="G21" i="27"/>
  <c r="G19" i="27"/>
  <c r="G18" i="27"/>
  <c r="H66" i="19"/>
  <c r="I66" i="19" s="1"/>
  <c r="G33" i="27"/>
  <c r="G36" i="27"/>
  <c r="G35" i="27"/>
  <c r="G32" i="27"/>
  <c r="G31" i="27"/>
  <c r="D6" i="26"/>
  <c r="H20" i="19"/>
  <c r="I20" i="19" s="1"/>
  <c r="E14" i="26"/>
  <c r="E16" i="26" s="1"/>
  <c r="D28" i="26" l="1"/>
  <c r="F29" i="26" s="1"/>
  <c r="G49" i="27"/>
  <c r="G37" i="27"/>
  <c r="G22" i="27"/>
  <c r="H71" i="19" l="1"/>
  <c r="I71" i="19" s="1"/>
  <c r="K71" i="19"/>
  <c r="K90" i="19"/>
  <c r="I90" i="19"/>
  <c r="I93" i="19" s="1"/>
  <c r="G93" i="19"/>
  <c r="K70" i="19"/>
  <c r="H70" i="19"/>
  <c r="I70" i="19" s="1"/>
  <c r="I75" i="19" l="1"/>
  <c r="H95" i="19" l="1"/>
  <c r="I95" i="19" s="1"/>
  <c r="I96" i="19" s="1"/>
  <c r="K95" i="19"/>
  <c r="K96" i="19" s="1"/>
  <c r="J96" i="19" s="1"/>
  <c r="G96" i="19"/>
  <c r="H11" i="23" l="1"/>
  <c r="H10" i="23"/>
  <c r="H12" i="23" l="1"/>
  <c r="E6" i="22"/>
  <c r="H65" i="19"/>
  <c r="I65" i="19" s="1"/>
  <c r="H64" i="19"/>
  <c r="I64" i="19" s="1"/>
  <c r="I24" i="19"/>
  <c r="I28" i="19" s="1"/>
  <c r="K93" i="19"/>
  <c r="J93" i="19" s="1"/>
  <c r="G68" i="19"/>
  <c r="K68" i="19"/>
  <c r="K66" i="19"/>
  <c r="K65" i="19"/>
  <c r="K64" i="19"/>
  <c r="G28" i="19"/>
  <c r="K24" i="19"/>
  <c r="K28" i="19" s="1"/>
  <c r="I19" i="19"/>
  <c r="H21" i="19"/>
  <c r="I21" i="19" s="1"/>
  <c r="H16" i="19"/>
  <c r="I16" i="19" s="1"/>
  <c r="I17" i="19" s="1"/>
  <c r="G17" i="19"/>
  <c r="K16" i="19"/>
  <c r="K17" i="19" s="1"/>
  <c r="J17" i="19" s="1"/>
  <c r="B6" i="21"/>
  <c r="B5" i="21"/>
  <c r="B4" i="22"/>
  <c r="B5" i="22"/>
  <c r="K19" i="19"/>
  <c r="K22" i="19" s="1"/>
  <c r="J22" i="19" s="1"/>
  <c r="G75" i="19"/>
  <c r="G22" i="19"/>
  <c r="K21" i="19"/>
  <c r="K75" i="19"/>
  <c r="J75" i="19" s="1"/>
  <c r="I68" i="19" l="1"/>
  <c r="I22" i="19"/>
  <c r="F24" i="21"/>
  <c r="I97" i="19" l="1"/>
  <c r="L22" i="19" s="1"/>
  <c r="F27" i="21"/>
  <c r="H42" i="21"/>
  <c r="I45" i="21"/>
  <c r="F18" i="21"/>
  <c r="F15" i="21"/>
  <c r="F30" i="21"/>
  <c r="F21" i="21"/>
  <c r="H12" i="21"/>
  <c r="I12" i="21"/>
  <c r="G12" i="21"/>
  <c r="F12" i="21"/>
  <c r="L62" i="19" l="1"/>
  <c r="L18" i="19"/>
  <c r="L17" i="19"/>
  <c r="L27" i="19"/>
  <c r="L33" i="19"/>
  <c r="L60" i="19"/>
  <c r="L58" i="19"/>
  <c r="L45" i="19"/>
  <c r="L31" i="19"/>
  <c r="L16" i="19"/>
  <c r="L59" i="19"/>
  <c r="L26" i="19"/>
  <c r="L30" i="19"/>
  <c r="L46" i="19"/>
  <c r="L51" i="19"/>
  <c r="L29" i="19"/>
  <c r="L49" i="19"/>
  <c r="L35" i="19"/>
  <c r="L55" i="19"/>
  <c r="L20" i="19"/>
  <c r="L36" i="19"/>
  <c r="L52" i="19"/>
  <c r="L34" i="19"/>
  <c r="L50" i="19"/>
  <c r="L63" i="19"/>
  <c r="L37" i="19"/>
  <c r="L53" i="19"/>
  <c r="L23" i="19"/>
  <c r="L39" i="19"/>
  <c r="L21" i="19"/>
  <c r="L24" i="19"/>
  <c r="L40" i="19"/>
  <c r="L56" i="19"/>
  <c r="L38" i="19"/>
  <c r="L54" i="19"/>
  <c r="L41" i="19"/>
  <c r="L57" i="19"/>
  <c r="L43" i="19"/>
  <c r="L28" i="19"/>
  <c r="L44" i="19"/>
  <c r="L42" i="19"/>
  <c r="L25" i="19"/>
  <c r="L61" i="19"/>
  <c r="L47" i="19"/>
  <c r="L32" i="19"/>
  <c r="L48" i="19"/>
  <c r="L19" i="19"/>
  <c r="L92" i="19"/>
  <c r="L91" i="19"/>
  <c r="L67" i="19"/>
  <c r="L74" i="19"/>
  <c r="L72" i="19"/>
  <c r="L90" i="19"/>
  <c r="L89" i="19"/>
  <c r="L73" i="19"/>
  <c r="L85" i="19"/>
  <c r="L80" i="19"/>
  <c r="L83" i="19"/>
  <c r="L82" i="19"/>
  <c r="L84" i="19"/>
  <c r="L81" i="19"/>
  <c r="I48" i="21"/>
  <c r="L66" i="19"/>
  <c r="L70" i="19"/>
  <c r="L64" i="19"/>
  <c r="L65" i="19"/>
  <c r="L95" i="19"/>
  <c r="L71" i="19"/>
  <c r="I51" i="21"/>
  <c r="G36" i="21"/>
  <c r="G33" i="21"/>
  <c r="E53" i="21"/>
  <c r="D37" i="21" l="1"/>
  <c r="D40" i="21"/>
  <c r="D10" i="21"/>
  <c r="D13" i="21"/>
  <c r="D19" i="21"/>
  <c r="D43" i="21"/>
  <c r="D28" i="21"/>
  <c r="D25" i="21"/>
  <c r="D16" i="21"/>
  <c r="D22" i="21"/>
  <c r="D46" i="21"/>
  <c r="D34" i="21"/>
  <c r="D49" i="21"/>
  <c r="D31" i="21"/>
  <c r="G53" i="21" l="1"/>
  <c r="H53" i="21" s="1"/>
  <c r="I53" i="21" s="1"/>
  <c r="D53" i="21"/>
</calcChain>
</file>

<file path=xl/sharedStrings.xml><?xml version="1.0" encoding="utf-8"?>
<sst xmlns="http://schemas.openxmlformats.org/spreadsheetml/2006/main" count="644" uniqueCount="401">
  <si>
    <t>Item</t>
  </si>
  <si>
    <t>Descrição</t>
  </si>
  <si>
    <t xml:space="preserve">UN </t>
  </si>
  <si>
    <t>Unitário</t>
  </si>
  <si>
    <t>SERVIÇOS PRELIMINARES</t>
  </si>
  <si>
    <t>TOTAL-----------------»</t>
  </si>
  <si>
    <t>CRONOGRAMA  FÍSICO-FINANCEIRO</t>
  </si>
  <si>
    <t>DISCRIMINAÇÃO DOS SERVIÇOS</t>
  </si>
  <si>
    <t>%</t>
  </si>
  <si>
    <t>VALOR DO ITEM</t>
  </si>
  <si>
    <t>(R$)</t>
  </si>
  <si>
    <t>TOTAIS MENSAIS</t>
  </si>
  <si>
    <t>TOTAIS ACUMULADOS</t>
  </si>
  <si>
    <t>RESUMO DA OBRA</t>
  </si>
  <si>
    <t>ITEM.</t>
  </si>
  <si>
    <t>30 DIAS</t>
  </si>
  <si>
    <t>60 DIAS</t>
  </si>
  <si>
    <t>90 DIAS</t>
  </si>
  <si>
    <t>120 DIAS</t>
  </si>
  <si>
    <t>PLACA DE OBRA EM CHAPA DE ACO GALVANIZADO</t>
  </si>
  <si>
    <t xml:space="preserve">Unit. c/ BDI </t>
  </si>
  <si>
    <t>Valor Total</t>
  </si>
  <si>
    <t>TOTAL ACUM.</t>
  </si>
  <si>
    <t>VALORES</t>
  </si>
  <si>
    <t>Quant.</t>
  </si>
  <si>
    <t>PINTURA</t>
  </si>
  <si>
    <t>VALOR</t>
  </si>
  <si>
    <t>C/ BASE SOB  REMANECENTE</t>
  </si>
  <si>
    <t>INSTALAÇÕES ELÉTRICAS</t>
  </si>
  <si>
    <t xml:space="preserve">          Data:17/julho/2017</t>
  </si>
  <si>
    <t>SINAPI</t>
  </si>
  <si>
    <t>M</t>
  </si>
  <si>
    <t>M²</t>
  </si>
  <si>
    <t>M³</t>
  </si>
  <si>
    <t>CONCRETO FCK=25MPA, TRAÇO 1: 2,3 :2, 7 (CIMENTO/ AREIA MÉDIA/ BRITA 1)-PREPARO MECÂNICO COM BETONEIRA 400L. AF_07/2016</t>
  </si>
  <si>
    <t>74209/001</t>
  </si>
  <si>
    <t>EXECUÇÃO DE DEPÓSITO EM CANTEIRO DE OBRA EM CHAPA DE MADEIRA COMPENSADA, NÃO INCLUSO MOBILIÁRIO. AF_04/2016</t>
  </si>
  <si>
    <t>COMPOSIÇÃO 01</t>
  </si>
  <si>
    <t>KG</t>
  </si>
  <si>
    <t>AMARÇÃO DE PILAR OU VIGA DE UMA ESTRUTURA CONVENCIONAL DE CONCRETO ARMADO EM UMA EDIFICAÇÃO TÉRREA OU SOBRADO UTILIZANDO AÇO CA-60 DE 5,0MM- MONTAGEM. AF_12/2015</t>
  </si>
  <si>
    <t>UN</t>
  </si>
  <si>
    <t>B.D.I: 27,63%</t>
  </si>
  <si>
    <t xml:space="preserve">       PLANILHA  ORÇAMENTÁRIA </t>
  </si>
  <si>
    <t>TOTAL GERAL DO ORÇAMENTO</t>
  </si>
  <si>
    <t>ADMINISTRAÇÃO LOCAL</t>
  </si>
  <si>
    <t xml:space="preserve">ADMINISTRAÇÃO LOCAL DE OBRA </t>
  </si>
  <si>
    <t>3.1</t>
  </si>
  <si>
    <t>1.1</t>
  </si>
  <si>
    <t>2.1</t>
  </si>
  <si>
    <t>2.2</t>
  </si>
  <si>
    <t>2.3</t>
  </si>
  <si>
    <t>3.2</t>
  </si>
  <si>
    <t>3.3</t>
  </si>
  <si>
    <t>5.1</t>
  </si>
  <si>
    <t>5.2</t>
  </si>
  <si>
    <t>ESCAVAÇÃO MANUAL DE VALA COM PROFUNDIDADE MENOR OU IGUAL A 1,30 M. AF_03/2016</t>
  </si>
  <si>
    <t xml:space="preserve">COMPOSIÇÕES DE VALORES </t>
  </si>
  <si>
    <t>COMPOSIÇÃO 001</t>
  </si>
  <si>
    <t>ADMINISTRAÇÃO DA OBRA</t>
  </si>
  <si>
    <t>M2</t>
  </si>
  <si>
    <t>SINAPI
ou Cot. De Mercado</t>
  </si>
  <si>
    <t>COMPONENTES</t>
  </si>
  <si>
    <t>Quantidade</t>
  </si>
  <si>
    <t>Custos
Unit. (R$)</t>
  </si>
  <si>
    <t>Custos
Total (R$)</t>
  </si>
  <si>
    <t>M Ã O   D E   O B R A</t>
  </si>
  <si>
    <t>90776</t>
  </si>
  <si>
    <t xml:space="preserve">ENCARREGADO GERAL COM ENCARGOS COMPLEMENTARES </t>
  </si>
  <si>
    <t>H</t>
  </si>
  <si>
    <t>90777</t>
  </si>
  <si>
    <t>ENGENHEIRO CIVIL DE OBRA JUNIOR COM ENCARGOS COMPLEMENTARES</t>
  </si>
  <si>
    <t>**Composição baseada nas tabela SINAPI/JUNHO 2018, BASEADA  EM EXECUÇÃO CONFORME CRONOGRAMA DE OBRA</t>
  </si>
  <si>
    <t>TOTAL</t>
  </si>
  <si>
    <t>M A T E R I A L</t>
  </si>
  <si>
    <t>M3</t>
  </si>
  <si>
    <t>88309</t>
  </si>
  <si>
    <t>PEDREIRO COM ENCARGOS COMPLEMENTARES</t>
  </si>
  <si>
    <t>88316</t>
  </si>
  <si>
    <t>SERVENTE COM ENCARGOS COMPLEMENTARES</t>
  </si>
  <si>
    <t>SINAPI/SINFRA
ou Cot. De Mercado</t>
  </si>
  <si>
    <t>ELETRICISTA COM ENCARGOS COMPLEMENTARES</t>
  </si>
  <si>
    <t>piso tatil</t>
  </si>
  <si>
    <t>REJUNTE COLORIDO, CIMENTICIO</t>
  </si>
  <si>
    <t>74245/001</t>
  </si>
  <si>
    <t>URBANIZAÇÃO E SERVIÇOS COMPLEMENTARES</t>
  </si>
  <si>
    <t>SERVIÇOS FINAIS</t>
  </si>
  <si>
    <t xml:space="preserve">                                      Santo Antonio do Leste - MT</t>
  </si>
  <si>
    <t>Praça Vanildo Cordeiro de Souza - Centro                                                                                                                                         Coordenadas Geográficas da Obra: Latitude 14°48'13.50"S - Longitude 53°36'35.40"O</t>
  </si>
  <si>
    <t>Tapume</t>
  </si>
  <si>
    <t>ENCARGOS SOCIAIS SOBRE MÃO DE OBRA: 86,39%</t>
  </si>
  <si>
    <t>quadra 80x80</t>
  </si>
  <si>
    <t>descontar 1,20 de passeio</t>
  </si>
  <si>
    <t>perímetro</t>
  </si>
  <si>
    <t>TAPUME DE CHAPA DE MADEIRA COMPENSADA, E= 6MM, COM PINTURA A CAL E REAPROVEITAMENTO DE 2X</t>
  </si>
  <si>
    <t>74220/001</t>
  </si>
  <si>
    <t>altura</t>
  </si>
  <si>
    <t>área  total</t>
  </si>
  <si>
    <t>Placa de Obra</t>
  </si>
  <si>
    <t>h</t>
  </si>
  <si>
    <t>c</t>
  </si>
  <si>
    <t>área</t>
  </si>
  <si>
    <t>DEMOLIÇÕES E RETIRADAS</t>
  </si>
  <si>
    <t>PAVIMENTAÇÃO</t>
  </si>
  <si>
    <t>Piso tátil direcional e/ou alerta, de concreto, na cor natural, p/deficientes visuais, dimensões 40x40cm, aplicado com argamassa industrializada ac-ii, rejuntado, exclusive regularização de base</t>
  </si>
  <si>
    <t>34357</t>
  </si>
  <si>
    <t>ARGAMASSA COLANTE AC-II</t>
  </si>
  <si>
    <t>34353</t>
  </si>
  <si>
    <t>PISO PODOTATIL DE CONCRETO - DIRECIONAL E ALERTA, *40 X 40 X 2,5* CM</t>
  </si>
  <si>
    <t>36178</t>
  </si>
  <si>
    <t>SAL PAV 01</t>
  </si>
  <si>
    <t>SAL PAV 02</t>
  </si>
  <si>
    <t>PINTURA ACRILICA EM PISO CIMENTADO DUAS DEMAOS</t>
  </si>
  <si>
    <t>largura</t>
  </si>
  <si>
    <t>comprimento</t>
  </si>
  <si>
    <t>área total</t>
  </si>
  <si>
    <t>PONTEIRO PARA MARTELO ROMPEDOR, DIAMETRO = *28* MM, COMPRIMENTO = *520* MM, ENCAIXE SEXTAVADO</t>
  </si>
  <si>
    <t>26022</t>
  </si>
  <si>
    <t>COMPRESSOR DE AR REBOCÁVEL, VAZÃO 189 PCM, PRESSÃO EFETIVA DE TRABALHO 102 PSI, MOTOR DIESEL, POTÊNCIA 63 CV - MANUTENÇÃO. AF_06/2015</t>
  </si>
  <si>
    <t>5797</t>
  </si>
  <si>
    <t>*Composição TCPO13 - Item 02220.8.4.1</t>
  </si>
  <si>
    <t>Demolição de concreto armado com utilização de martelete rompedor</t>
  </si>
  <si>
    <t>DEMOLIÇÃO DE CONCRETO ARMADO COM UTILIZAÇÃO DE MARTELETE ROMPEDOR</t>
  </si>
  <si>
    <t>volume</t>
  </si>
  <si>
    <t>MARTELETE OU ROMPEDOR PNEUMÁTICO MANUAL, 28 KG, COM SILENCIADOR - MANU</t>
  </si>
  <si>
    <t>SAL DEM 01</t>
  </si>
  <si>
    <t>Rampa padrão para acesso de deficientes a passeio público, em concreto simples Fck=25MPa, desempolada, com pintura indicativa em novacor, 02 demãos</t>
  </si>
  <si>
    <t>1527</t>
  </si>
  <si>
    <t>CONCRETO USINADO BOMBEAVEL, CLASSE DE RESISTENCIA C25, COM BRITA 0 E 1, SLUMP = +/- 20 MM, INCLUI SERVICO DE BOMBEAMENTO (NBR 8953)</t>
  </si>
  <si>
    <t>93358</t>
  </si>
  <si>
    <t>79482</t>
  </si>
  <si>
    <t>ATERRO COM AREIA COM ADENSAMENTO HIDRAULICO</t>
  </si>
  <si>
    <t>REGULARIZAÇÃO DE SUPERFICIE DE CONCRETO APARENTE</t>
  </si>
  <si>
    <t>40780</t>
  </si>
  <si>
    <t>RAMPA PADRÃO PARA ACESSO DE DEFICIENTES A PASSEIO PÚBLICO, EM CONCRETO SIMPLES FCK=25MPA, DESEMPOLADA, COM PINTURA INDICATIVA EM NOVACOR, 02 DEMÃOS</t>
  </si>
  <si>
    <t>PISO TÁTIL DIRECIONAL E/OU ALERTA, DE CONCRETO, NA COR NATURAL, P/ DEFICIENTES VISUAIS, DIMENSÕES 40X40CM, APLICADO COM ARGAMASSA INDUSTRIALIZADA AC-II, REJUNTADO, EXCLUSIVE REGULARIZAÇÃO DE BASE</t>
  </si>
  <si>
    <t>LIMPEZA DE SUPERFÍCIE COM JATO DE ALTA PRESSÃO. AF_04/2019</t>
  </si>
  <si>
    <t>Guia Calçada</t>
  </si>
  <si>
    <t>Guia Jardim</t>
  </si>
  <si>
    <t>SALURB 01</t>
  </si>
  <si>
    <t xml:space="preserve">Conjunto com 03 lixeiras em fibra de vidro, com capacidade 20l cada, com tampa vai e vem 
</t>
  </si>
  <si>
    <t>CONJUNTO DE 03 LIXEIRAS EM FIBRA DE VIDRO, COM CAPACIDADE 20L CADA, COM TAMPA VAI E VEM</t>
  </si>
  <si>
    <t>09676/ORSE</t>
  </si>
  <si>
    <t>CONCRETO FCK = 15MPA, TRAÇO 1:3,4:3,5 (CIMENTO/ AREIA MÉDIA/ BRITA 1) - PREPARO MECÂNICO COM BETONEIRA 400 L. AF_07/2016</t>
  </si>
  <si>
    <t>SAL URB 01</t>
  </si>
  <si>
    <t>CAIAÇÃO EM MEIO FIO</t>
  </si>
  <si>
    <t>CARGA E DESCARGA MECANIZADAS DE ENTULHO EM CAMINHAO BASCULANTE 6 M3</t>
  </si>
  <si>
    <t>TRANSPORTE DE ENTULHO COM CAMINHAO BASCULANTE 6 M3, RODOVIA PAVIMENTADA, DMT 0,5 A 1,0 KM</t>
  </si>
  <si>
    <t>LUVA EM PVC RIGIDO ROSCAVEL, DE 3/4", PARA ELETRODUTO</t>
  </si>
  <si>
    <t>ELETRODUTO DE PVC RIGIDO ROSCAVEL DE 3/4 ", SEM LUVA</t>
  </si>
  <si>
    <t>CABO DE COBRE FLEXÍVEL ISOLADO, 2,5 MM², ANTI-CHAMA 450/750 V, PARA CIRCUITOS TERMINAIS - FORNECIMENTO E INSTALAÇÃO. AF_12/2015</t>
  </si>
  <si>
    <t>CAIXA DE PASSAGEM 30X30X40 COM TAMPA E DRENO BRITA</t>
  </si>
  <si>
    <t>5.3</t>
  </si>
  <si>
    <t>PINTURA ACRILICA PARA SINALIZAÇÃO HORIZONTAL EM PISO CIMENTADO</t>
  </si>
  <si>
    <t>5ª MEDIÇÃO</t>
  </si>
  <si>
    <r>
      <t>M</t>
    </r>
    <r>
      <rPr>
        <b/>
        <sz val="10"/>
        <rFont val="Calibri"/>
        <family val="2"/>
        <scheme val="minor"/>
      </rPr>
      <t>²</t>
    </r>
  </si>
  <si>
    <r>
      <t>M</t>
    </r>
    <r>
      <rPr>
        <i/>
        <sz val="10"/>
        <rFont val="Calibri"/>
        <family val="2"/>
        <scheme val="minor"/>
      </rPr>
      <t>²</t>
    </r>
  </si>
  <si>
    <t>Area</t>
  </si>
  <si>
    <t>espessura</t>
  </si>
  <si>
    <t>Volume a demolir</t>
  </si>
  <si>
    <t>area estacionamento</t>
  </si>
  <si>
    <t>Área de piso a executar</t>
  </si>
  <si>
    <t>Area de pintura de piso cimentado</t>
  </si>
  <si>
    <t>Volume do piso de concreto a demolir</t>
  </si>
  <si>
    <t>comprimento a demolir</t>
  </si>
  <si>
    <t>volume a demolir</t>
  </si>
  <si>
    <t>SAL ELE 01</t>
  </si>
  <si>
    <t xml:space="preserve">Luminária decorativa simples externa, ref.CW-200/3, c/chapeu refletor em aluminio, pintado em epoxi, c/difusor acrílico leitoso, inclusive poste galv. reto h=3,00m, inclusive lâmpada mista 250w. (Luminance/Tecnolux ou similar)
</t>
  </si>
  <si>
    <t>Luminária decorativa externa, ref.CW-200/3, c/difusor em acrilico leitoso com chapeu refletor em aluminio pintado em epoxi (Luminance/Tecnolux ou similar)</t>
  </si>
  <si>
    <t>09494/ORSE</t>
  </si>
  <si>
    <t>09495/ORSE</t>
  </si>
  <si>
    <t>Poste decorativo reto, h=3,00m, em ferro galvanizado inclusive base (Luminance/Tecnolux ou similar)</t>
  </si>
  <si>
    <t>4.1</t>
  </si>
  <si>
    <t>4.2</t>
  </si>
  <si>
    <t>6.1</t>
  </si>
  <si>
    <t>7.1</t>
  </si>
  <si>
    <t>8.1</t>
  </si>
  <si>
    <t>4.3</t>
  </si>
  <si>
    <t>92966</t>
  </si>
  <si>
    <t>94963</t>
  </si>
  <si>
    <t>5.4</t>
  </si>
  <si>
    <t>Lampada de luz mista 160 w, base e27 (220 v)</t>
  </si>
  <si>
    <t>DISJUNTOR BIPOLAR TIPO DIN, CORRENTE NOMINAL DE 16A - FORNECIMENTO E INSTALAÇÃO. AF_04/2016</t>
  </si>
  <si>
    <t>7.2</t>
  </si>
  <si>
    <t>CORTE RASO E RECORTE DE ÁRVORE COM DIÂMETRO DE TRONCO MAIOR OU IGUAL A 0,20 M E MENOR QUE 0,40 M.AF_05/2018</t>
  </si>
  <si>
    <t>area piso novo da praça</t>
  </si>
  <si>
    <t>area piso a refazer</t>
  </si>
  <si>
    <t>4.4</t>
  </si>
  <si>
    <t>ALVENARIA EM TIJOLO CERAMICO MACICO 5X10X20CM 1/2 VEZ (ESPESSURA 10CM), ASSENTADO COM ARGAMASSA TRACO 1:2:8 (CIMENTO, CAL E AREIA)</t>
  </si>
  <si>
    <t>Guias a demolir</t>
  </si>
  <si>
    <t>Linear</t>
  </si>
  <si>
    <t>Volume</t>
  </si>
  <si>
    <t>guia jardim a recuperar</t>
  </si>
  <si>
    <t>linear</t>
  </si>
  <si>
    <t>area</t>
  </si>
  <si>
    <t>ESQUADRIAS</t>
  </si>
  <si>
    <t>7.3</t>
  </si>
  <si>
    <t>7.4</t>
  </si>
  <si>
    <t>7.5</t>
  </si>
  <si>
    <t>9.1</t>
  </si>
  <si>
    <t>8.2</t>
  </si>
  <si>
    <t>LUMINÁRIA DECORATIVA SIMPLES EXTERNA, REF.CW-200/3, C/CHAPEU REFLETOR EM ALUMINIO, PINTADO EM EPOXI, C/DIFUSOR ACRÍLICO LEITOSO, INCLUSIVE POSTE GALV. RETO H=3,00M, INCLUSIVE LÂMPADA MISTA 160W. (LUMINANCE/TECNOLUX OU SIMILAR)</t>
  </si>
  <si>
    <t>Palco e WCs</t>
  </si>
  <si>
    <t>Paredes</t>
  </si>
  <si>
    <t>Piso palco</t>
  </si>
  <si>
    <t>Cobertura WCs</t>
  </si>
  <si>
    <t>EXECUÇÃO DE PASSEIO (CALÇADA) OU PISO DE CONCRETO COM CONCRETO MOLDADOIN LOCO, FEITO EM OBRA, ACABAMENTO CONVENCIONAL, ESPESSURA 6 CM, ARMADO. AF_07/2016</t>
  </si>
  <si>
    <t>8.3</t>
  </si>
  <si>
    <t>12507/ORSE</t>
  </si>
  <si>
    <t>PLACA DE SINALIZAÇÃO, DIM.: 60 X 80 CM, - "ESTACIONAMENTO RESERVADO - DEFICIENTE/IDOSOS", INCLUSO BARROTE PARA FIXAÇÃO - FORNECIMENTO E INSTALAÇÃO</t>
  </si>
  <si>
    <t>5.5</t>
  </si>
  <si>
    <t>73924/003</t>
  </si>
  <si>
    <t>8.4</t>
  </si>
  <si>
    <t>REMOÇÃO DE RAÍZES REMANESCENTES DE TRONCO DE ÁRVORE COM DIÂMETRO MAIOR OU IGUAL A 0,20 M E MENOR QUE 0,40 M.AF_05/2018</t>
  </si>
  <si>
    <t>3.4</t>
  </si>
  <si>
    <t>Escavação para eletrodutos</t>
  </si>
  <si>
    <t>corte 15x15</t>
  </si>
  <si>
    <t>Janelas</t>
  </si>
  <si>
    <t>qntd</t>
  </si>
  <si>
    <t>vidro a relocar</t>
  </si>
  <si>
    <t>120x60</t>
  </si>
  <si>
    <t>PINTURA ESMALTE FOSCO, DUAS DEMAOS, SOBRE SUPERFICIE METALICA</t>
  </si>
  <si>
    <t>APLICAÇÃO MANUAL DE PINTURA COM TINTA LÁTEX PVA EM PAREDES, DUAS DEMÃOS. AF_06/2014</t>
  </si>
  <si>
    <t>VIDRO FANTASIA TIPO CANELADO, ESPESSURA 4MM</t>
  </si>
  <si>
    <t>88264</t>
  </si>
  <si>
    <t>*Composição 09367/ORSE  - jul/2019</t>
  </si>
  <si>
    <t>*Composição 12214/ORSE - jul/2019</t>
  </si>
  <si>
    <t>FUNDAÇÃO</t>
  </si>
  <si>
    <t>CONCRETO MAGRO PARA LASTRO, TRAÇO 1:4,5:4,5 (CIMENTO/ AREIA MÉDIA/ BRITA 1) -PREPARO MECÂNICO COM BETÔNEIRA 400 L. AF_07/2016</t>
  </si>
  <si>
    <t>CONCRETO FCK=25MPA, TRAÇO 1:2,3:2,7 (CIMENTO/ AREIA MÉDIA/ BRITA 1)-PREPARO MECÂNICO COM BETONEIRA 400L. AF_07/2016</t>
  </si>
  <si>
    <t xml:space="preserve">LANCAMENTO/APLICACAO MANUAL DE CONCRETO EM FUNDACOES </t>
  </si>
  <si>
    <t>74157/004</t>
  </si>
  <si>
    <t>MONTAGEM E DESMONTAGEM DE FÔRMA DE PILARES RETANGULARES E ESTRUTURAS SIMILARES COM ÁREA MÉDIA DAS SEÇÕES MENOR OU IGUAL A  0,25M², PÉ DIREITO SIMPLES, EM CHAPA DE MADEIRA COMPENSADA RESINADA, 6 UTILIZAÇÕES AF_12/2015</t>
  </si>
  <si>
    <t>AMARÇÃO DE BLOCO, VIGA BALDRAME OU SAPATA UTILIZANDO AÇO CA-60 DE 5,0MM-MONTAGEM  AF_06/2017</t>
  </si>
  <si>
    <t>AMARÇÃO DE BLOCO, VIGA BALDRAME OU SAPATA UTILIZANDO AÇO CA-50 DE 10,0MM-MONTAGEM  AF_06/2017</t>
  </si>
  <si>
    <t>ESTRUTURA</t>
  </si>
  <si>
    <t>AMARÇÃO DE PILAR OU VIGA DE UMA ESTRUTURA CONVENCIONAL DE CONCRETO ARMADO EM UMA EDIFICAÇÃO TÉRREA OU SOBRADO UTILIZANDO AÇO CA-50 DE 10,0MM- MONTAGEM. AF_12/2015</t>
  </si>
  <si>
    <t>IMPERMEABILIZAÇÃO</t>
  </si>
  <si>
    <t>IMPERMEABILIZAÇÃO DE ESTRUTURAS ENTERRADAS, COM TINTA ASFALTICA, DUAS DEMÃOS.</t>
  </si>
  <si>
    <t>74106/001</t>
  </si>
  <si>
    <t>MONTAGEM E DESMONTAGEM DE FÔRMA DE LAJE MACIÇA COM ÁREA MÉDIA MAIOR QUE 20 M², PÉ-DIREITO SIMPLES, EM CHAPA DE MADEIRA COMPENSADA RESINADA, 2 UTILIZAÇÕES. AF_12/2015</t>
  </si>
  <si>
    <t>ARMAÇÃO DE LAJE DE UMA ESTRUTURA CONVENCIONAL DE CONCRETO ARMADO EM UMA EDIFICAÇÃO TÉRREA OU SOBRADO UTILIZANDO AÇO CA-60 DE 5,0 MM - MONTAGEM. AF_12/2015</t>
  </si>
  <si>
    <t>ARMAÇÃO DE LAJE DE UMA ESTRUTURA CONVENCIONAL DE CONCRETO ARMADO EM UMA EDIFICAÇÃO TÉRREA OU SOBRADO UTILIZANDO AÇO CA-50 DE 8,0 MM - MONTAGEM. AF_12/2015</t>
  </si>
  <si>
    <t>CONCRETAGEM DE EDIFICAÇÕES (PAREDES E LAJES) FEITAS COM SISTEMA DE FÔRMAS MANUSEÁVEIS, COM CONCRETO USINADO BOMBEÁVEL FCK 20 MPA - LANÇAMENTO, ADENSAMENTO E ACABAMENTO. AF_06/2015</t>
  </si>
  <si>
    <t>LAJES</t>
  </si>
  <si>
    <t>4.5</t>
  </si>
  <si>
    <t>4.6</t>
  </si>
  <si>
    <t>9.2</t>
  </si>
  <si>
    <t>9.3</t>
  </si>
  <si>
    <t>9.4</t>
  </si>
  <si>
    <t>10.1</t>
  </si>
  <si>
    <t>10.2</t>
  </si>
  <si>
    <t>10.3</t>
  </si>
  <si>
    <t>10.4</t>
  </si>
  <si>
    <t>10.5</t>
  </si>
  <si>
    <t>11.1</t>
  </si>
  <si>
    <t>12.1</t>
  </si>
  <si>
    <t>12.2</t>
  </si>
  <si>
    <t>12.3</t>
  </si>
  <si>
    <t>12.4</t>
  </si>
  <si>
    <t>12.5</t>
  </si>
  <si>
    <t>12.6</t>
  </si>
  <si>
    <t>13.1</t>
  </si>
  <si>
    <t>13.2</t>
  </si>
  <si>
    <t>13.3</t>
  </si>
  <si>
    <t>13.4</t>
  </si>
  <si>
    <t>14.1</t>
  </si>
  <si>
    <t>ALVENARIA</t>
  </si>
  <si>
    <t>ALVENARIA DE VEDAÇÃO DE BLOCOS CERÂMICOS FURADOS NA HORIZONTAL DE 14X9X19CM (ESPESSURA 14CM, BLOCO DEITADO) DE PAREDES COM ÁREA LÍQUIDA MENOR QUE 6M² SEM VÃOS E ARGAMASSA DE ASSENTAMENTO COM PREPARO EM BETONEIRA. AF_06/2014</t>
  </si>
  <si>
    <t>CHAPISCO APLICADO EM ALVENARIA (SEM PRESENÇA DE VÃOS) E ESTRUTURAS DECONCRETO DE FACHADA, COM COLHER DE PEDREIRO. ARGAMASSA TRAÇO 1:3 COMPREPARO EM BETONEIRA 400L. AF_06/2014</t>
  </si>
  <si>
    <t>8.5</t>
  </si>
  <si>
    <t>MASSA ÚNICA, PARA RECEBIMENTO DE PINTURA, EM ARGAMASSA TRAÇO 1:2:8, PREPARO MECÂNICO COM BETONEIRA 400L, APLICADA MANUALMENTE EM FACES INTERNAS DE PAREDES, ESPESSURA DE 20MM, COM EXECUÇÃO DE TALISCAS. AF_06/2014</t>
  </si>
  <si>
    <t>APLICAÇÃO MANUAL DE FUNDO SELADOR ACRÍLICO EM PAREDES EXTERNAS DE CASAS. AF_06/2014</t>
  </si>
  <si>
    <t>APLICAÇÃO MANUAL DE MASSA ACRÍLICA EM PAREDES EXTERNAS DE CASAS, UMA DEMÃO. AF_05/2017</t>
  </si>
  <si>
    <t>APLICAÇÃO MANUAL DE TINTA LÁTEX ACRÍLICA EM PAREDE EXTERNAS DE CASAS, DUAS DEMÃOS. AF_11/2016</t>
  </si>
  <si>
    <t>8.6</t>
  </si>
  <si>
    <t>MASSA ÚNICA, PARA RECEBIMENTO DE PINTURA, EM ARGAMASSA TRAÇO 1:2:8, PREPARO MECÂNICO COM BETONEIRA 400L, APLICADA MANUALMENTE EM TETO, ESPESSURA DE 20MM, COM EXECUÇÃO DE TALISCAS. AF_03/2015</t>
  </si>
  <si>
    <t>APLICAÇÃO MANUAL DE PINTURA COM TINTA LÁTEX PVA EM TETO, DUAS DEMÃOS. AF_06/2014</t>
  </si>
  <si>
    <t>12.7</t>
  </si>
  <si>
    <t>SAL ELE 02</t>
  </si>
  <si>
    <t>Luminária para iluminação pública com 04 pétalas, da Lustres Projeto ref. DP-2384-01 ou similar, c/lâmpada vapor de sódio 250w, c/ acessórios, incluindo poste circular de concreto de 9m</t>
  </si>
  <si>
    <t>Guindaste koehring bantan es-488 telekruiser 16 ton ou equivalente</t>
  </si>
  <si>
    <t>02472/ORSE</t>
  </si>
  <si>
    <t>Equipe de instalação elétrica</t>
  </si>
  <si>
    <t>03098/ORSE</t>
  </si>
  <si>
    <t>Luminária c/ 4 pétalas p/iluminação pública, em alumínio injetado cinza, refletor alumínio anodizado e difusor em vidro temperado, da Lustres Projeto DP-2384-01 (ou similar), inclusive adaptador</t>
  </si>
  <si>
    <t>Reator p/ lampada vapor de sodio 250w uso ext</t>
  </si>
  <si>
    <t>Ignitor para lampada de vapor de sodio / vapor metalico ate400 w, tensao de pulso entre 580 a 750 v</t>
  </si>
  <si>
    <t>Lampada vapor de sodio ovoide 250 w (base e40)</t>
  </si>
  <si>
    <t>Poste de concreto circular, 400 kg, h = 9 m (nbr 8451)</t>
  </si>
  <si>
    <t>09157/ORSE</t>
  </si>
  <si>
    <t>01082/SINAPI</t>
  </si>
  <si>
    <t>03757/SINAPI</t>
  </si>
  <si>
    <t xml:space="preserve">03757/SINAPI </t>
  </si>
  <si>
    <t>*Composição 08887/ORSE - set/2019</t>
  </si>
  <si>
    <t>*Composição 12039/ORSE - set/2019</t>
  </si>
  <si>
    <t>*Composição 09209/ORSE - set/2019</t>
  </si>
  <si>
    <t>RESPONSÁVEL TÉCNICO: JOÃO PAULO CAMARGO</t>
  </si>
  <si>
    <t>CREA 121744373-8</t>
  </si>
  <si>
    <t xml:space="preserve">                                       Fonte de valores: SINAPI - 09/2019-DESONERADO</t>
  </si>
  <si>
    <t>DATA:08/11/2019</t>
  </si>
  <si>
    <t xml:space="preserve">       PLANILHA  DE ENCARGOS SOCIAIS SOBRE MÃO DE OBRA</t>
  </si>
  <si>
    <t xml:space="preserve">        Município: Santo Antonio do Leste - MT</t>
  </si>
  <si>
    <t xml:space="preserve">      ENCARGOS SOCIAIS SOBRE MÃO DE OBRA: 88,80%</t>
  </si>
  <si>
    <t>ENCARGOS SOCIAIS SOBRE A MÃO DE OBRA</t>
  </si>
  <si>
    <t>CÓDIGO</t>
  </si>
  <si>
    <t>DESCRIÇÃO</t>
  </si>
  <si>
    <t>COM DESONERAÇÃO</t>
  </si>
  <si>
    <t>SEM DESONERAÇÃO</t>
  </si>
  <si>
    <t>HORISTA</t>
  </si>
  <si>
    <t>MENSALISTA</t>
  </si>
  <si>
    <t>GRUPO A</t>
  </si>
  <si>
    <t>A1</t>
  </si>
  <si>
    <t>INSS</t>
  </si>
  <si>
    <t>A2</t>
  </si>
  <si>
    <t>SESI</t>
  </si>
  <si>
    <t>A3</t>
  </si>
  <si>
    <t>SENAI</t>
  </si>
  <si>
    <t>A4</t>
  </si>
  <si>
    <t>INCRA</t>
  </si>
  <si>
    <t>A5</t>
  </si>
  <si>
    <t>SEBRAE</t>
  </si>
  <si>
    <t>A6</t>
  </si>
  <si>
    <t>Salário Educação</t>
  </si>
  <si>
    <t>A7</t>
  </si>
  <si>
    <t>Seguro Contra Acidentes de Trabalho</t>
  </si>
  <si>
    <t>A8</t>
  </si>
  <si>
    <t>FGTS</t>
  </si>
  <si>
    <t>A9</t>
  </si>
  <si>
    <t>SECONCI</t>
  </si>
  <si>
    <t>A</t>
  </si>
  <si>
    <t>Total</t>
  </si>
  <si>
    <t>GRUPO B</t>
  </si>
  <si>
    <t>B1</t>
  </si>
  <si>
    <t>Repouso Semanal Remunerado</t>
  </si>
  <si>
    <t>Não incide</t>
  </si>
  <si>
    <t>B2</t>
  </si>
  <si>
    <t>Feriados</t>
  </si>
  <si>
    <t>B3</t>
  </si>
  <si>
    <t>Auxílio - Enfermidade</t>
  </si>
  <si>
    <t>B4</t>
  </si>
  <si>
    <t>13º Salário</t>
  </si>
  <si>
    <t>B5</t>
  </si>
  <si>
    <t>Licença Paternidade</t>
  </si>
  <si>
    <t>B6</t>
  </si>
  <si>
    <t>Faltas Justificadas</t>
  </si>
  <si>
    <t>B7</t>
  </si>
  <si>
    <t>Dias de Chuvas</t>
  </si>
  <si>
    <t>B8</t>
  </si>
  <si>
    <t>Auxílio Acidente de Trabalho</t>
  </si>
  <si>
    <t>B9</t>
  </si>
  <si>
    <t>Férias Gozadas</t>
  </si>
  <si>
    <t>B10</t>
  </si>
  <si>
    <t>Salário Maternidade</t>
  </si>
  <si>
    <t>B</t>
  </si>
  <si>
    <t>GRUPO C</t>
  </si>
  <si>
    <t>C1</t>
  </si>
  <si>
    <t>Aviso Prévio Indenizado</t>
  </si>
  <si>
    <t>C2</t>
  </si>
  <si>
    <t>Aviso Prévio Trabalhado</t>
  </si>
  <si>
    <t>C3</t>
  </si>
  <si>
    <t>Férias Indenizadas</t>
  </si>
  <si>
    <t>C4</t>
  </si>
  <si>
    <t>Depósito Recisão Sem Justa Causa</t>
  </si>
  <si>
    <t>C5</t>
  </si>
  <si>
    <t>Indenização Adicional</t>
  </si>
  <si>
    <t>C</t>
  </si>
  <si>
    <t>GRUPO D</t>
  </si>
  <si>
    <t>D1</t>
  </si>
  <si>
    <t>Reincidência de Grupo A sobre Grupo B</t>
  </si>
  <si>
    <t>D2</t>
  </si>
  <si>
    <t>Reincidência de Grupo A sobre Aviso Prévio Trabalhado e Reincidência do FGTS sobre Aviso Prévio Indenizado</t>
  </si>
  <si>
    <t>D</t>
  </si>
  <si>
    <t>TOTAL(A+B+C+D)</t>
  </si>
  <si>
    <t>Fonte: Informação Dias de Chuva - INMET</t>
  </si>
  <si>
    <r>
      <rPr>
        <b/>
        <sz val="9.5"/>
        <rFont val="Arial"/>
        <family val="2"/>
      </rPr>
      <t xml:space="preserve">GOVERNO MUNICIPAL DE SANTO ANTONIO DO LESTE - MT
</t>
    </r>
    <r>
      <rPr>
        <b/>
        <sz val="9"/>
        <rFont val="Times New Roman"/>
        <family val="1"/>
      </rPr>
      <t>Composição da Parcela de BDI  - Obras e Serviços
Referência         09/19</t>
    </r>
  </si>
  <si>
    <r>
      <rPr>
        <b/>
        <sz val="8"/>
        <rFont val="Times New Roman"/>
        <family val="1"/>
      </rPr>
      <t>Itens relativos à Administração da Obra</t>
    </r>
  </si>
  <si>
    <r>
      <rPr>
        <b/>
        <sz val="8"/>
        <rFont val="Times New Roman"/>
        <family val="1"/>
      </rPr>
      <t>%</t>
    </r>
  </si>
  <si>
    <r>
      <rPr>
        <sz val="8"/>
        <rFont val="Arial"/>
        <family val="2"/>
      </rPr>
      <t>AC - Administração Central</t>
    </r>
  </si>
  <si>
    <r>
      <rPr>
        <sz val="8"/>
        <rFont val="Arial"/>
        <family val="2"/>
      </rPr>
      <t>DF - Custos Financeiros</t>
    </r>
  </si>
  <si>
    <t>R - Riscos</t>
  </si>
  <si>
    <r>
      <rPr>
        <sz val="8"/>
        <rFont val="Arial"/>
        <family val="2"/>
      </rPr>
      <t>S - Seguros</t>
    </r>
  </si>
  <si>
    <r>
      <rPr>
        <sz val="8"/>
        <rFont val="Arial"/>
        <family val="2"/>
      </rPr>
      <t>G - Garantias</t>
    </r>
  </si>
  <si>
    <r>
      <rPr>
        <b/>
        <sz val="8"/>
        <rFont val="Arial"/>
        <family val="2"/>
      </rPr>
      <t>Sub-total</t>
    </r>
  </si>
  <si>
    <r>
      <rPr>
        <b/>
        <sz val="8"/>
        <rFont val="Times New Roman"/>
        <family val="1"/>
      </rPr>
      <t>Lucro</t>
    </r>
  </si>
  <si>
    <r>
      <rPr>
        <sz val="8"/>
        <rFont val="Arial"/>
        <family val="2"/>
      </rPr>
      <t>L - Lucro/Remuneração</t>
    </r>
  </si>
  <si>
    <r>
      <rPr>
        <b/>
        <sz val="8"/>
        <rFont val="Times New Roman"/>
        <family val="1"/>
      </rPr>
      <t>I - Taxas e Impostos</t>
    </r>
  </si>
  <si>
    <r>
      <rPr>
        <sz val="8"/>
        <rFont val="Arial"/>
        <family val="2"/>
      </rPr>
      <t>PIS</t>
    </r>
  </si>
  <si>
    <r>
      <rPr>
        <sz val="8"/>
        <rFont val="Arial"/>
        <family val="2"/>
      </rPr>
      <t>COFINS</t>
    </r>
  </si>
  <si>
    <r>
      <rPr>
        <sz val="8"/>
        <rFont val="Arial"/>
        <family val="2"/>
      </rPr>
      <t>ISSQN</t>
    </r>
  </si>
  <si>
    <t>Contribuição Previdenciária - Lei N°12.546/13</t>
  </si>
  <si>
    <r>
      <rPr>
        <b/>
        <sz val="8"/>
        <rFont val="Times New Roman"/>
        <family val="1"/>
      </rPr>
      <t>BDI=</t>
    </r>
  </si>
  <si>
    <t>Nota técnica: O ISSQN de 2,5% esta baseado sobre 60% conforme Lei Municipal n°114/03</t>
  </si>
  <si>
    <r>
      <t xml:space="preserve">                                 Fonte de Referência:Caixa Econômica Federal         D</t>
    </r>
    <r>
      <rPr>
        <b/>
        <sz val="10"/>
        <rFont val="Arial"/>
        <family val="2"/>
      </rPr>
      <t>ata: 08/11/2019</t>
    </r>
  </si>
  <si>
    <t xml:space="preserve">            Reforma da Praça Vanildo Cordeiro de Souza</t>
  </si>
  <si>
    <t xml:space="preserve">                                                              Local da Obra: Jardim Bem Viver                                                                                                                    Coord. geograficas da Obra: Lat. 14°47'58.4"S - Long. 53°36'56.4"O</t>
  </si>
  <si>
    <t>INSUMOS E COMPOSIÇÕES / REF. SINAPI/MT - SETEMBRO/2019</t>
  </si>
  <si>
    <t xml:space="preserve">    Reforma da Praça Vanildo Cordeiro de Souza</t>
  </si>
  <si>
    <t>Reforma da Praça Vanildo Cordeiro de Souza</t>
  </si>
  <si>
    <r>
      <rPr>
        <b/>
        <sz val="10"/>
        <rFont val="Arial"/>
        <family val="2"/>
      </rPr>
      <t>OBRA:</t>
    </r>
    <r>
      <rPr>
        <sz val="10"/>
        <rFont val="Arial"/>
        <family val="2"/>
      </rPr>
      <t xml:space="preserve"> REFORMA DA PRAÇA VANILDO CORDEIRO DE SOUZA</t>
    </r>
  </si>
  <si>
    <t>7.6</t>
  </si>
  <si>
    <t>IMPORTA O PRESENTE ORÇAMENTO EM R$ 400.858,00 - QUATROCENTOS MIL, OITOCENTOS E CINQUENTA E OITO REAIS E ZERO CENTAVOS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</si>
</sst>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(&quot;R$ &quot;* #,##0.00_);_(&quot;R$ &quot;* \(#,##0.00\);_(&quot;R$ &quot;* &quot;-&quot;??_);_(@_)"/>
    <numFmt numFmtId="165" formatCode="_(* #,##0.00_);_(* \(#,##0.00\);_(* &quot;-&quot;??_);_(@_)"/>
    <numFmt numFmtId="166" formatCode="0.000"/>
    <numFmt numFmtId="167" formatCode="0.0000"/>
    <numFmt numFmtId="168" formatCode="_(* #,##0.000_);_(* \(#,##0.000\);_(* &quot;-&quot;??_);_(@_)"/>
  </numFmts>
  <fonts count="50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</font>
    <font>
      <b/>
      <sz val="14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u/>
      <sz val="16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11"/>
      <color indexed="8"/>
      <name val="Calibri"/>
      <family val="2"/>
    </font>
    <font>
      <sz val="9"/>
      <color indexed="10"/>
      <name val="Geneva"/>
      <family val="2"/>
    </font>
    <font>
      <b/>
      <u/>
      <sz val="18"/>
      <name val="Arial"/>
      <family val="2"/>
    </font>
    <font>
      <sz val="1"/>
      <name val="Arial"/>
      <family val="2"/>
    </font>
    <font>
      <sz val="11"/>
      <name val="Arial"/>
      <family val="2"/>
    </font>
    <font>
      <i/>
      <sz val="10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b/>
      <sz val="13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i/>
      <sz val="10"/>
      <name val="Calibri"/>
      <family val="2"/>
      <scheme val="minor"/>
    </font>
    <font>
      <sz val="8"/>
      <name val="Verdana"/>
      <family val="2"/>
    </font>
    <font>
      <sz val="8"/>
      <color rgb="FF000000"/>
      <name val="Verdana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rgb="FF000000"/>
      <name val="Arial"/>
      <family val="2"/>
    </font>
    <font>
      <sz val="14"/>
      <name val="Arial"/>
      <family val="2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name val="Times New Roman"/>
      <family val="2"/>
    </font>
    <font>
      <b/>
      <sz val="9.5"/>
      <name val="Arial"/>
      <family val="2"/>
    </font>
    <font>
      <b/>
      <sz val="9"/>
      <name val="Times New Roman"/>
      <family val="1"/>
    </font>
    <font>
      <b/>
      <sz val="8"/>
      <name val="Times New Roman"/>
      <family val="1"/>
    </font>
    <font>
      <b/>
      <sz val="8"/>
      <color rgb="FF000000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lightUp"/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1" tint="0.499984740745262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65">
    <xf numFmtId="0" fontId="0" fillId="0" borderId="0"/>
    <xf numFmtId="0" fontId="21" fillId="0" borderId="0"/>
    <xf numFmtId="0" fontId="21" fillId="0" borderId="0"/>
    <xf numFmtId="0" fontId="20" fillId="0" borderId="0"/>
    <xf numFmtId="0" fontId="29" fillId="0" borderId="0" applyNumberForma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" fontId="9" fillId="0" borderId="0"/>
    <xf numFmtId="0" fontId="9" fillId="0" borderId="0"/>
    <xf numFmtId="0" fontId="9" fillId="0" borderId="0"/>
    <xf numFmtId="0" fontId="30" fillId="0" borderId="0"/>
    <xf numFmtId="0" fontId="9" fillId="0" borderId="0"/>
    <xf numFmtId="0" fontId="28" fillId="0" borderId="0"/>
    <xf numFmtId="0" fontId="28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497">
    <xf numFmtId="0" fontId="0" fillId="0" borderId="0" xfId="0"/>
    <xf numFmtId="0" fontId="0" fillId="0" borderId="0" xfId="0" applyAlignment="1">
      <alignment vertical="center" wrapText="1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/>
    </xf>
    <xf numFmtId="167" fontId="0" fillId="0" borderId="0" xfId="0" applyNumberFormat="1"/>
    <xf numFmtId="4" fontId="0" fillId="0" borderId="0" xfId="0" applyNumberFormat="1" applyAlignment="1">
      <alignment horizontal="center"/>
    </xf>
    <xf numFmtId="0" fontId="13" fillId="0" borderId="0" xfId="0" applyFont="1" applyAlignment="1">
      <alignment vertical="center" wrapText="1"/>
    </xf>
    <xf numFmtId="0" fontId="14" fillId="0" borderId="0" xfId="0" applyFont="1" applyAlignment="1">
      <alignment vertical="center"/>
    </xf>
    <xf numFmtId="0" fontId="13" fillId="0" borderId="0" xfId="0" applyFont="1"/>
    <xf numFmtId="0" fontId="0" fillId="0" borderId="0" xfId="0" applyBorder="1" applyAlignment="1">
      <alignment horizontal="left" vertical="center" wrapText="1"/>
    </xf>
    <xf numFmtId="0" fontId="9" fillId="0" borderId="0" xfId="0" applyFont="1"/>
    <xf numFmtId="4" fontId="0" fillId="2" borderId="0" xfId="0" applyNumberFormat="1" applyFill="1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167" fontId="0" fillId="2" borderId="0" xfId="0" applyNumberFormat="1" applyFill="1"/>
    <xf numFmtId="0" fontId="16" fillId="0" borderId="0" xfId="0" applyFont="1"/>
    <xf numFmtId="0" fontId="9" fillId="0" borderId="0" xfId="0" applyFont="1" applyBorder="1"/>
    <xf numFmtId="0" fontId="16" fillId="0" borderId="2" xfId="0" applyFont="1" applyBorder="1"/>
    <xf numFmtId="0" fontId="9" fillId="0" borderId="2" xfId="0" applyFont="1" applyBorder="1"/>
    <xf numFmtId="165" fontId="16" fillId="0" borderId="2" xfId="0" applyNumberFormat="1" applyFont="1" applyBorder="1"/>
    <xf numFmtId="0" fontId="7" fillId="0" borderId="3" xfId="0" applyFont="1" applyBorder="1"/>
    <xf numFmtId="0" fontId="16" fillId="0" borderId="3" xfId="0" applyFont="1" applyBorder="1"/>
    <xf numFmtId="0" fontId="19" fillId="0" borderId="4" xfId="0" applyFont="1" applyBorder="1" applyAlignment="1">
      <alignment horizontal="center"/>
    </xf>
    <xf numFmtId="0" fontId="19" fillId="3" borderId="1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10" fontId="16" fillId="0" borderId="6" xfId="34" applyNumberFormat="1" applyFont="1" applyBorder="1"/>
    <xf numFmtId="10" fontId="16" fillId="0" borderId="4" xfId="34" applyNumberFormat="1" applyFont="1" applyBorder="1"/>
    <xf numFmtId="165" fontId="16" fillId="0" borderId="8" xfId="50" applyFont="1" applyBorder="1"/>
    <xf numFmtId="165" fontId="16" fillId="0" borderId="7" xfId="50" applyFont="1" applyBorder="1"/>
    <xf numFmtId="165" fontId="16" fillId="0" borderId="4" xfId="50" applyFont="1" applyBorder="1"/>
    <xf numFmtId="165" fontId="16" fillId="3" borderId="1" xfId="50" applyFont="1" applyFill="1" applyBorder="1"/>
    <xf numFmtId="165" fontId="16" fillId="4" borderId="4" xfId="50" applyFont="1" applyFill="1" applyBorder="1"/>
    <xf numFmtId="10" fontId="16" fillId="0" borderId="9" xfId="34" applyNumberFormat="1" applyFont="1" applyFill="1" applyBorder="1"/>
    <xf numFmtId="10" fontId="16" fillId="0" borderId="5" xfId="34" applyNumberFormat="1" applyFont="1" applyFill="1" applyBorder="1"/>
    <xf numFmtId="165" fontId="16" fillId="3" borderId="10" xfId="50" applyFont="1" applyFill="1" applyBorder="1"/>
    <xf numFmtId="10" fontId="16" fillId="3" borderId="1" xfId="34" applyNumberFormat="1" applyFont="1" applyFill="1" applyBorder="1"/>
    <xf numFmtId="10" fontId="16" fillId="0" borderId="5" xfId="34" applyNumberFormat="1" applyFont="1" applyBorder="1"/>
    <xf numFmtId="10" fontId="16" fillId="0" borderId="11" xfId="34" applyNumberFormat="1" applyFont="1" applyBorder="1"/>
    <xf numFmtId="10" fontId="16" fillId="4" borderId="5" xfId="34" applyNumberFormat="1" applyFont="1" applyFill="1" applyBorder="1"/>
    <xf numFmtId="10" fontId="16" fillId="4" borderId="11" xfId="34" applyNumberFormat="1" applyFont="1" applyFill="1" applyBorder="1"/>
    <xf numFmtId="165" fontId="16" fillId="0" borderId="11" xfId="50" applyFont="1" applyFill="1" applyBorder="1"/>
    <xf numFmtId="165" fontId="16" fillId="0" borderId="11" xfId="50" applyFont="1" applyBorder="1"/>
    <xf numFmtId="165" fontId="16" fillId="0" borderId="12" xfId="50" applyFont="1" applyFill="1" applyBorder="1"/>
    <xf numFmtId="165" fontId="19" fillId="0" borderId="7" xfId="50" applyFont="1" applyBorder="1"/>
    <xf numFmtId="9" fontId="19" fillId="0" borderId="1" xfId="34" applyNumberFormat="1" applyFont="1" applyBorder="1" applyAlignment="1">
      <alignment horizontal="center"/>
    </xf>
    <xf numFmtId="165" fontId="19" fillId="0" borderId="1" xfId="50" applyFont="1" applyBorder="1" applyAlignment="1">
      <alignment horizontal="center"/>
    </xf>
    <xf numFmtId="165" fontId="16" fillId="0" borderId="1" xfId="0" applyNumberFormat="1" applyFont="1" applyBorder="1"/>
    <xf numFmtId="0" fontId="19" fillId="0" borderId="0" xfId="0" applyFont="1"/>
    <xf numFmtId="0" fontId="7" fillId="0" borderId="0" xfId="0" applyFont="1" applyBorder="1" applyAlignment="1">
      <alignment horizontal="center"/>
    </xf>
    <xf numFmtId="0" fontId="9" fillId="0" borderId="0" xfId="0" applyFont="1" applyAlignment="1">
      <alignment horizontal="center"/>
    </xf>
    <xf numFmtId="165" fontId="9" fillId="0" borderId="0" xfId="0" applyNumberFormat="1" applyFont="1"/>
    <xf numFmtId="0" fontId="0" fillId="0" borderId="0" xfId="0" applyBorder="1"/>
    <xf numFmtId="10" fontId="7" fillId="0" borderId="0" xfId="44" applyNumberFormat="1" applyFont="1" applyBorder="1" applyAlignment="1">
      <alignment vertical="center" wrapText="1"/>
    </xf>
    <xf numFmtId="0" fontId="0" fillId="0" borderId="0" xfId="0" applyBorder="1" applyAlignment="1">
      <alignment horizontal="center" wrapText="1"/>
    </xf>
    <xf numFmtId="0" fontId="0" fillId="0" borderId="0" xfId="0" applyBorder="1" applyAlignment="1">
      <alignment horizontal="center" vertical="center" wrapText="1"/>
    </xf>
    <xf numFmtId="4" fontId="0" fillId="0" borderId="0" xfId="0" applyNumberFormat="1" applyAlignment="1">
      <alignment vertical="center" wrapText="1"/>
    </xf>
    <xf numFmtId="0" fontId="12" fillId="0" borderId="19" xfId="0" applyFont="1" applyBorder="1" applyAlignment="1">
      <alignment horizontal="right"/>
    </xf>
    <xf numFmtId="0" fontId="24" fillId="0" borderId="0" xfId="24" applyFont="1" applyBorder="1"/>
    <xf numFmtId="0" fontId="19" fillId="0" borderId="5" xfId="0" applyFont="1" applyBorder="1" applyAlignment="1">
      <alignment horizontal="center"/>
    </xf>
    <xf numFmtId="0" fontId="19" fillId="0" borderId="7" xfId="0" applyFont="1" applyBorder="1" applyAlignment="1">
      <alignment horizontal="center"/>
    </xf>
    <xf numFmtId="10" fontId="16" fillId="0" borderId="7" xfId="34" applyNumberFormat="1" applyFont="1" applyBorder="1"/>
    <xf numFmtId="0" fontId="19" fillId="4" borderId="17" xfId="0" applyFont="1" applyFill="1" applyBorder="1" applyAlignment="1">
      <alignment horizontal="center" vertical="center"/>
    </xf>
    <xf numFmtId="10" fontId="7" fillId="0" borderId="0" xfId="44" applyNumberFormat="1" applyFont="1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0" fontId="0" fillId="8" borderId="0" xfId="0" applyFill="1" applyAlignment="1">
      <alignment vertical="center" wrapText="1"/>
    </xf>
    <xf numFmtId="0" fontId="24" fillId="8" borderId="0" xfId="24" applyFont="1" applyFill="1" applyBorder="1"/>
    <xf numFmtId="0" fontId="7" fillId="8" borderId="0" xfId="0" applyFont="1" applyFill="1" applyAlignment="1">
      <alignment vertical="center"/>
    </xf>
    <xf numFmtId="166" fontId="24" fillId="8" borderId="0" xfId="24" applyNumberFormat="1" applyFont="1" applyFill="1" applyBorder="1"/>
    <xf numFmtId="0" fontId="14" fillId="8" borderId="0" xfId="0" applyFont="1" applyFill="1" applyAlignment="1">
      <alignment vertical="center"/>
    </xf>
    <xf numFmtId="0" fontId="13" fillId="8" borderId="0" xfId="0" applyFont="1" applyFill="1" applyAlignment="1">
      <alignment vertical="center" wrapText="1"/>
    </xf>
    <xf numFmtId="0" fontId="0" fillId="8" borderId="0" xfId="0" applyFill="1"/>
    <xf numFmtId="0" fontId="13" fillId="8" borderId="0" xfId="0" applyFont="1" applyFill="1"/>
    <xf numFmtId="0" fontId="27" fillId="0" borderId="0" xfId="0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0" fillId="0" borderId="0" xfId="0" applyBorder="1" applyAlignment="1"/>
    <xf numFmtId="0" fontId="0" fillId="0" borderId="0" xfId="0" applyBorder="1" applyAlignment="1">
      <alignment wrapText="1"/>
    </xf>
    <xf numFmtId="0" fontId="0" fillId="0" borderId="0" xfId="0" applyFill="1" applyBorder="1"/>
    <xf numFmtId="0" fontId="0" fillId="0" borderId="0" xfId="0" applyBorder="1" applyAlignment="1">
      <alignment horizontal="center"/>
    </xf>
    <xf numFmtId="0" fontId="7" fillId="10" borderId="28" xfId="25" applyFont="1" applyFill="1" applyBorder="1" applyAlignment="1">
      <alignment horizontal="center" vertical="center"/>
    </xf>
    <xf numFmtId="0" fontId="7" fillId="10" borderId="15" xfId="24" applyFont="1" applyFill="1" applyBorder="1" applyAlignment="1">
      <alignment horizontal="center" vertical="center" wrapText="1"/>
    </xf>
    <xf numFmtId="0" fontId="7" fillId="0" borderId="30" xfId="24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 wrapText="1"/>
    </xf>
    <xf numFmtId="4" fontId="7" fillId="5" borderId="16" xfId="0" applyNumberFormat="1" applyFont="1" applyFill="1" applyBorder="1" applyAlignment="1">
      <alignment horizontal="center" vertical="center" wrapText="1"/>
    </xf>
    <xf numFmtId="0" fontId="9" fillId="5" borderId="31" xfId="0" applyFont="1" applyFill="1" applyBorder="1" applyAlignment="1">
      <alignment horizontal="left" wrapText="1"/>
    </xf>
    <xf numFmtId="0" fontId="9" fillId="5" borderId="31" xfId="0" applyFont="1" applyFill="1" applyBorder="1" applyAlignment="1">
      <alignment horizontal="center"/>
    </xf>
    <xf numFmtId="165" fontId="12" fillId="12" borderId="25" xfId="52" applyFont="1" applyFill="1" applyBorder="1" applyAlignment="1">
      <alignment horizontal="right" vertical="center"/>
    </xf>
    <xf numFmtId="4" fontId="8" fillId="12" borderId="19" xfId="8" applyNumberFormat="1" applyFont="1" applyFill="1" applyBorder="1" applyAlignment="1">
      <alignment horizontal="right" vertical="center"/>
    </xf>
    <xf numFmtId="0" fontId="23" fillId="0" borderId="0" xfId="24" applyFont="1" applyBorder="1"/>
    <xf numFmtId="49" fontId="23" fillId="0" borderId="0" xfId="24" applyNumberFormat="1" applyFont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4" fontId="0" fillId="5" borderId="16" xfId="0" applyNumberFormat="1" applyFill="1" applyBorder="1" applyAlignment="1">
      <alignment horizontal="right"/>
    </xf>
    <xf numFmtId="4" fontId="0" fillId="5" borderId="32" xfId="0" applyNumberFormat="1" applyFill="1" applyBorder="1" applyAlignment="1">
      <alignment horizontal="right"/>
    </xf>
    <xf numFmtId="0" fontId="9" fillId="5" borderId="31" xfId="0" applyFont="1" applyFill="1" applyBorder="1" applyAlignment="1">
      <alignment horizontal="left"/>
    </xf>
    <xf numFmtId="2" fontId="0" fillId="0" borderId="0" xfId="0" applyNumberFormat="1"/>
    <xf numFmtId="0" fontId="16" fillId="0" borderId="5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27" fillId="0" borderId="6" xfId="0" applyFont="1" applyBorder="1" applyAlignment="1">
      <alignment vertical="center" wrapText="1"/>
    </xf>
    <xf numFmtId="0" fontId="27" fillId="0" borderId="11" xfId="0" applyFont="1" applyBorder="1" applyAlignment="1">
      <alignment vertical="center" wrapText="1"/>
    </xf>
    <xf numFmtId="0" fontId="0" fillId="0" borderId="23" xfId="0" applyBorder="1"/>
    <xf numFmtId="0" fontId="0" fillId="0" borderId="24" xfId="0" applyBorder="1"/>
    <xf numFmtId="0" fontId="0" fillId="0" borderId="24" xfId="0" applyBorder="1" applyAlignment="1">
      <alignment horizontal="center"/>
    </xf>
    <xf numFmtId="0" fontId="0" fillId="0" borderId="21" xfId="0" applyFill="1" applyBorder="1"/>
    <xf numFmtId="0" fontId="0" fillId="0" borderId="13" xfId="0" applyBorder="1"/>
    <xf numFmtId="0" fontId="0" fillId="0" borderId="14" xfId="0" applyFill="1" applyBorder="1"/>
    <xf numFmtId="0" fontId="9" fillId="0" borderId="0" xfId="25" applyFont="1" applyBorder="1"/>
    <xf numFmtId="0" fontId="23" fillId="0" borderId="0" xfId="0" applyFont="1" applyBorder="1" applyAlignment="1">
      <alignment vertical="center"/>
    </xf>
    <xf numFmtId="165" fontId="9" fillId="0" borderId="0" xfId="51" applyFont="1" applyBorder="1"/>
    <xf numFmtId="164" fontId="9" fillId="0" borderId="0" xfId="8" applyFont="1" applyBorder="1"/>
    <xf numFmtId="0" fontId="9" fillId="0" borderId="23" xfId="0" applyFont="1" applyBorder="1"/>
    <xf numFmtId="0" fontId="9" fillId="0" borderId="21" xfId="0" applyFont="1" applyBorder="1"/>
    <xf numFmtId="0" fontId="9" fillId="0" borderId="13" xfId="0" applyFont="1" applyBorder="1"/>
    <xf numFmtId="0" fontId="9" fillId="0" borderId="14" xfId="0" applyFont="1" applyBorder="1"/>
    <xf numFmtId="0" fontId="12" fillId="0" borderId="14" xfId="0" applyFont="1" applyBorder="1" applyAlignment="1"/>
    <xf numFmtId="0" fontId="9" fillId="0" borderId="25" xfId="0" applyFont="1" applyBorder="1"/>
    <xf numFmtId="0" fontId="9" fillId="0" borderId="19" xfId="0" applyFont="1" applyBorder="1"/>
    <xf numFmtId="0" fontId="16" fillId="0" borderId="24" xfId="0" applyFont="1" applyBorder="1"/>
    <xf numFmtId="9" fontId="19" fillId="0" borderId="31" xfId="34" applyNumberFormat="1" applyFont="1" applyBorder="1" applyAlignment="1">
      <alignment horizontal="center"/>
    </xf>
    <xf numFmtId="165" fontId="19" fillId="0" borderId="31" xfId="50" applyFont="1" applyBorder="1" applyAlignment="1">
      <alignment horizontal="center"/>
    </xf>
    <xf numFmtId="0" fontId="16" fillId="0" borderId="0" xfId="0" applyFont="1" applyBorder="1"/>
    <xf numFmtId="0" fontId="19" fillId="0" borderId="0" xfId="0" applyFont="1" applyBorder="1"/>
    <xf numFmtId="10" fontId="16" fillId="0" borderId="0" xfId="34" applyNumberFormat="1" applyFont="1" applyBorder="1"/>
    <xf numFmtId="49" fontId="9" fillId="5" borderId="30" xfId="25" applyNumberFormat="1" applyFont="1" applyFill="1" applyBorder="1" applyAlignment="1">
      <alignment horizontal="center" vertical="center"/>
    </xf>
    <xf numFmtId="0" fontId="9" fillId="5" borderId="1" xfId="25" applyFont="1" applyFill="1" applyBorder="1" applyAlignment="1">
      <alignment horizontal="left" wrapText="1"/>
    </xf>
    <xf numFmtId="0" fontId="9" fillId="5" borderId="1" xfId="25" applyFont="1" applyFill="1" applyBorder="1" applyAlignment="1">
      <alignment horizontal="center" wrapText="1"/>
    </xf>
    <xf numFmtId="165" fontId="31" fillId="5" borderId="1" xfId="52" applyFont="1" applyFill="1" applyBorder="1" applyAlignment="1" applyProtection="1">
      <alignment horizontal="center"/>
    </xf>
    <xf numFmtId="165" fontId="31" fillId="5" borderId="1" xfId="52" applyFont="1" applyFill="1" applyBorder="1" applyAlignment="1">
      <alignment horizontal="center"/>
    </xf>
    <xf numFmtId="165" fontId="31" fillId="5" borderId="31" xfId="52" applyFont="1" applyFill="1" applyBorder="1" applyAlignment="1">
      <alignment horizontal="center"/>
    </xf>
    <xf numFmtId="49" fontId="9" fillId="5" borderId="30" xfId="25" applyNumberFormat="1" applyFont="1" applyFill="1" applyBorder="1" applyAlignment="1">
      <alignment horizontal="center"/>
    </xf>
    <xf numFmtId="165" fontId="31" fillId="5" borderId="31" xfId="52" applyFont="1" applyFill="1" applyBorder="1" applyAlignment="1" applyProtection="1">
      <alignment horizontal="center"/>
    </xf>
    <xf numFmtId="0" fontId="24" fillId="8" borderId="0" xfId="24" applyFont="1" applyFill="1" applyBorder="1"/>
    <xf numFmtId="0" fontId="32" fillId="0" borderId="0" xfId="0" applyFont="1"/>
    <xf numFmtId="49" fontId="9" fillId="5" borderId="38" xfId="25" applyNumberFormat="1" applyFont="1" applyFill="1" applyBorder="1" applyAlignment="1">
      <alignment horizontal="center"/>
    </xf>
    <xf numFmtId="0" fontId="9" fillId="5" borderId="5" xfId="25" applyFont="1" applyFill="1" applyBorder="1" applyAlignment="1">
      <alignment horizontal="center" wrapText="1"/>
    </xf>
    <xf numFmtId="165" fontId="31" fillId="5" borderId="5" xfId="52" applyFont="1" applyFill="1" applyBorder="1" applyAlignment="1" applyProtection="1">
      <alignment horizontal="center"/>
    </xf>
    <xf numFmtId="49" fontId="9" fillId="5" borderId="1" xfId="25" applyNumberFormat="1" applyFont="1" applyFill="1" applyBorder="1" applyAlignment="1">
      <alignment horizontal="center"/>
    </xf>
    <xf numFmtId="0" fontId="32" fillId="0" borderId="1" xfId="0" applyFont="1" applyBorder="1"/>
    <xf numFmtId="0" fontId="32" fillId="14" borderId="1" xfId="0" applyFont="1" applyFill="1" applyBorder="1" applyAlignment="1">
      <alignment wrapText="1"/>
    </xf>
    <xf numFmtId="0" fontId="9" fillId="0" borderId="1" xfId="24" applyFont="1" applyFill="1" applyBorder="1" applyAlignment="1">
      <alignment vertical="center" wrapText="1"/>
    </xf>
    <xf numFmtId="0" fontId="32" fillId="14" borderId="1" xfId="0" applyFont="1" applyFill="1" applyBorder="1" applyAlignment="1">
      <alignment horizontal="center" wrapText="1"/>
    </xf>
    <xf numFmtId="0" fontId="32" fillId="0" borderId="5" xfId="0" applyFont="1" applyBorder="1"/>
    <xf numFmtId="165" fontId="31" fillId="5" borderId="5" xfId="52" applyFont="1" applyFill="1" applyBorder="1" applyAlignment="1">
      <alignment horizontal="center"/>
    </xf>
    <xf numFmtId="0" fontId="9" fillId="0" borderId="1" xfId="24" applyFont="1" applyFill="1" applyBorder="1" applyAlignment="1">
      <alignment horizontal="center" vertical="center" wrapText="1"/>
    </xf>
    <xf numFmtId="168" fontId="31" fillId="5" borderId="1" xfId="52" applyNumberFormat="1" applyFont="1" applyFill="1" applyBorder="1" applyAlignment="1" applyProtection="1">
      <alignment horizontal="center"/>
    </xf>
    <xf numFmtId="0" fontId="7" fillId="10" borderId="28" xfId="25" applyFont="1" applyFill="1" applyBorder="1" applyAlignment="1">
      <alignment horizontal="center" vertical="center" wrapText="1"/>
    </xf>
    <xf numFmtId="165" fontId="31" fillId="5" borderId="1" xfId="52" applyFont="1" applyFill="1" applyBorder="1" applyAlignment="1">
      <alignment horizontal="center" wrapText="1"/>
    </xf>
    <xf numFmtId="4" fontId="0" fillId="5" borderId="16" xfId="0" applyNumberFormat="1" applyFill="1" applyBorder="1" applyAlignment="1">
      <alignment horizontal="right" wrapText="1"/>
    </xf>
    <xf numFmtId="0" fontId="32" fillId="0" borderId="1" xfId="0" applyFont="1" applyBorder="1" applyAlignment="1">
      <alignment wrapText="1"/>
    </xf>
    <xf numFmtId="165" fontId="31" fillId="5" borderId="1" xfId="52" applyFont="1" applyFill="1" applyBorder="1" applyAlignment="1" applyProtection="1">
      <alignment horizontal="center" wrapText="1"/>
    </xf>
    <xf numFmtId="49" fontId="9" fillId="5" borderId="30" xfId="25" applyNumberFormat="1" applyFont="1" applyFill="1" applyBorder="1" applyAlignment="1">
      <alignment horizontal="center" wrapText="1"/>
    </xf>
    <xf numFmtId="168" fontId="31" fillId="5" borderId="1" xfId="52" applyNumberFormat="1" applyFont="1" applyFill="1" applyBorder="1" applyAlignment="1" applyProtection="1">
      <alignment horizontal="center" wrapText="1"/>
    </xf>
    <xf numFmtId="165" fontId="12" fillId="12" borderId="25" xfId="52" applyFont="1" applyFill="1" applyBorder="1" applyAlignment="1">
      <alignment horizontal="right" vertical="center" wrapText="1"/>
    </xf>
    <xf numFmtId="4" fontId="8" fillId="12" borderId="19" xfId="8" applyNumberFormat="1" applyFont="1" applyFill="1" applyBorder="1" applyAlignment="1">
      <alignment horizontal="right" vertical="center" wrapText="1"/>
    </xf>
    <xf numFmtId="49" fontId="9" fillId="5" borderId="1" xfId="25" applyNumberFormat="1" applyFont="1" applyFill="1" applyBorder="1" applyAlignment="1">
      <alignment horizontal="center" vertical="center" wrapText="1"/>
    </xf>
    <xf numFmtId="4" fontId="0" fillId="5" borderId="1" xfId="0" applyNumberFormat="1" applyFill="1" applyBorder="1" applyAlignment="1">
      <alignment horizontal="right" wrapText="1"/>
    </xf>
    <xf numFmtId="165" fontId="31" fillId="5" borderId="1" xfId="52" applyNumberFormat="1" applyFont="1" applyFill="1" applyBorder="1" applyAlignment="1" applyProtection="1">
      <alignment horizontal="center" wrapText="1"/>
    </xf>
    <xf numFmtId="4" fontId="35" fillId="5" borderId="1" xfId="0" applyNumberFormat="1" applyFont="1" applyFill="1" applyBorder="1" applyAlignment="1">
      <alignment horizontal="center" vertical="center" wrapText="1"/>
    </xf>
    <xf numFmtId="0" fontId="35" fillId="7" borderId="0" xfId="0" applyFont="1" applyFill="1" applyBorder="1" applyAlignment="1">
      <alignment vertical="center" wrapText="1"/>
    </xf>
    <xf numFmtId="0" fontId="35" fillId="5" borderId="1" xfId="0" applyFont="1" applyFill="1" applyBorder="1" applyAlignment="1">
      <alignment horizontal="left" vertical="center" wrapText="1"/>
    </xf>
    <xf numFmtId="0" fontId="35" fillId="5" borderId="1" xfId="0" applyFont="1" applyFill="1" applyBorder="1" applyAlignment="1">
      <alignment vertical="center" wrapText="1"/>
    </xf>
    <xf numFmtId="0" fontId="34" fillId="5" borderId="1" xfId="0" quotePrefix="1" applyFont="1" applyFill="1" applyBorder="1" applyAlignment="1">
      <alignment horizontal="center" vertical="center" wrapText="1"/>
    </xf>
    <xf numFmtId="167" fontId="34" fillId="5" borderId="1" xfId="0" applyNumberFormat="1" applyFont="1" applyFill="1" applyBorder="1" applyAlignment="1">
      <alignment horizontal="center" vertical="center" wrapText="1"/>
    </xf>
    <xf numFmtId="2" fontId="34" fillId="5" borderId="1" xfId="0" applyNumberFormat="1" applyFont="1" applyFill="1" applyBorder="1" applyAlignment="1">
      <alignment vertical="center" wrapText="1"/>
    </xf>
    <xf numFmtId="2" fontId="34" fillId="5" borderId="1" xfId="0" applyNumberFormat="1" applyFont="1" applyFill="1" applyBorder="1" applyAlignment="1">
      <alignment horizontal="center" vertical="center" wrapText="1"/>
    </xf>
    <xf numFmtId="10" fontId="35" fillId="13" borderId="1" xfId="0" applyNumberFormat="1" applyFont="1" applyFill="1" applyBorder="1" applyAlignment="1">
      <alignment horizontal="center" vertical="center" wrapText="1"/>
    </xf>
    <xf numFmtId="10" fontId="35" fillId="5" borderId="1" xfId="0" applyNumberFormat="1" applyFont="1" applyFill="1" applyBorder="1" applyAlignment="1">
      <alignment horizontal="center" vertical="center" wrapText="1"/>
    </xf>
    <xf numFmtId="4" fontId="34" fillId="6" borderId="0" xfId="0" applyNumberFormat="1" applyFont="1" applyFill="1" applyBorder="1" applyAlignment="1">
      <alignment horizontal="right" vertical="center" wrapText="1"/>
    </xf>
    <xf numFmtId="10" fontId="34" fillId="7" borderId="0" xfId="0" applyNumberFormat="1" applyFont="1" applyFill="1" applyBorder="1" applyAlignment="1">
      <alignment horizontal="right" vertical="center" wrapText="1"/>
    </xf>
    <xf numFmtId="4" fontId="34" fillId="7" borderId="0" xfId="0" applyNumberFormat="1" applyFont="1" applyFill="1" applyBorder="1" applyAlignment="1">
      <alignment vertical="center" wrapText="1"/>
    </xf>
    <xf numFmtId="10" fontId="34" fillId="6" borderId="0" xfId="64" applyNumberFormat="1" applyFont="1" applyFill="1" applyBorder="1" applyAlignment="1">
      <alignment vertical="center" wrapText="1"/>
    </xf>
    <xf numFmtId="4" fontId="35" fillId="5" borderId="1" xfId="0" applyNumberFormat="1" applyFont="1" applyFill="1" applyBorder="1" applyAlignment="1">
      <alignment vertical="center" wrapText="1"/>
    </xf>
    <xf numFmtId="10" fontId="35" fillId="7" borderId="0" xfId="0" applyNumberFormat="1" applyFont="1" applyFill="1" applyBorder="1" applyAlignment="1">
      <alignment horizontal="right" vertical="center" wrapText="1"/>
    </xf>
    <xf numFmtId="4" fontId="35" fillId="7" borderId="0" xfId="0" applyNumberFormat="1" applyFont="1" applyFill="1" applyBorder="1" applyAlignment="1">
      <alignment vertical="center" wrapText="1"/>
    </xf>
    <xf numFmtId="0" fontId="34" fillId="0" borderId="1" xfId="0" applyFont="1" applyFill="1" applyBorder="1" applyAlignment="1">
      <alignment horizontal="left" vertical="center" wrapText="1"/>
    </xf>
    <xf numFmtId="0" fontId="34" fillId="5" borderId="1" xfId="0" applyFont="1" applyFill="1" applyBorder="1" applyAlignment="1">
      <alignment horizontal="center" vertical="center" wrapText="1"/>
    </xf>
    <xf numFmtId="4" fontId="34" fillId="5" borderId="1" xfId="0" applyNumberFormat="1" applyFont="1" applyFill="1" applyBorder="1" applyAlignment="1">
      <alignment horizontal="center" vertical="center" wrapText="1"/>
    </xf>
    <xf numFmtId="4" fontId="34" fillId="5" borderId="1" xfId="0" applyNumberFormat="1" applyFont="1" applyFill="1" applyBorder="1" applyAlignment="1">
      <alignment horizontal="right" vertical="center" wrapText="1"/>
    </xf>
    <xf numFmtId="10" fontId="34" fillId="8" borderId="0" xfId="0" applyNumberFormat="1" applyFont="1" applyFill="1" applyBorder="1" applyAlignment="1">
      <alignment horizontal="right" vertical="center" wrapText="1"/>
    </xf>
    <xf numFmtId="4" fontId="34" fillId="8" borderId="0" xfId="0" applyNumberFormat="1" applyFont="1" applyFill="1" applyBorder="1" applyAlignment="1">
      <alignment vertical="center" wrapText="1"/>
    </xf>
    <xf numFmtId="0" fontId="34" fillId="5" borderId="1" xfId="0" applyFont="1" applyFill="1" applyBorder="1" applyAlignment="1">
      <alignment horizontal="left" vertical="center" wrapText="1"/>
    </xf>
    <xf numFmtId="0" fontId="34" fillId="5" borderId="1" xfId="0" applyNumberFormat="1" applyFont="1" applyFill="1" applyBorder="1" applyAlignment="1">
      <alignment horizontal="center" vertical="center" wrapText="1"/>
    </xf>
    <xf numFmtId="4" fontId="34" fillId="8" borderId="0" xfId="45" applyNumberFormat="1" applyFont="1" applyFill="1" applyBorder="1" applyAlignment="1">
      <alignment vertical="center" wrapText="1"/>
    </xf>
    <xf numFmtId="0" fontId="34" fillId="0" borderId="1" xfId="0" applyFont="1" applyFill="1" applyBorder="1" applyAlignment="1">
      <alignment horizontal="center" vertical="center" wrapText="1"/>
    </xf>
    <xf numFmtId="0" fontId="34" fillId="0" borderId="1" xfId="0" applyNumberFormat="1" applyFont="1" applyFill="1" applyBorder="1" applyAlignment="1">
      <alignment horizontal="center" vertical="center" wrapText="1"/>
    </xf>
    <xf numFmtId="4" fontId="34" fillId="0" borderId="1" xfId="0" applyNumberFormat="1" applyFont="1" applyFill="1" applyBorder="1" applyAlignment="1">
      <alignment horizontal="center" vertical="center" wrapText="1"/>
    </xf>
    <xf numFmtId="4" fontId="34" fillId="0" borderId="1" xfId="0" applyNumberFormat="1" applyFont="1" applyFill="1" applyBorder="1" applyAlignment="1">
      <alignment horizontal="right" vertical="center" wrapText="1"/>
    </xf>
    <xf numFmtId="0" fontId="34" fillId="0" borderId="1" xfId="24" applyFont="1" applyFill="1" applyBorder="1" applyAlignment="1">
      <alignment vertical="center" wrapText="1"/>
    </xf>
    <xf numFmtId="0" fontId="34" fillId="0" borderId="1" xfId="24" applyFont="1" applyFill="1" applyBorder="1" applyAlignment="1">
      <alignment horizontal="center" vertical="center" wrapText="1"/>
    </xf>
    <xf numFmtId="2" fontId="34" fillId="0" borderId="1" xfId="24" applyNumberFormat="1" applyFont="1" applyFill="1" applyBorder="1" applyAlignment="1">
      <alignment horizontal="center" vertical="center" wrapText="1"/>
    </xf>
    <xf numFmtId="0" fontId="34" fillId="5" borderId="1" xfId="0" applyFont="1" applyFill="1" applyBorder="1" applyAlignment="1">
      <alignment horizontal="justify" vertical="center" wrapText="1"/>
    </xf>
    <xf numFmtId="0" fontId="35" fillId="5" borderId="1" xfId="0" applyFont="1" applyFill="1" applyBorder="1" applyAlignment="1">
      <alignment horizontal="left" vertical="center"/>
    </xf>
    <xf numFmtId="0" fontId="35" fillId="5" borderId="10" xfId="0" applyFont="1" applyFill="1" applyBorder="1" applyAlignment="1">
      <alignment vertical="center" wrapText="1"/>
    </xf>
    <xf numFmtId="4" fontId="34" fillId="8" borderId="0" xfId="45" applyNumberFormat="1" applyFont="1" applyFill="1" applyBorder="1" applyAlignment="1">
      <alignment vertical="center"/>
    </xf>
    <xf numFmtId="10" fontId="34" fillId="6" borderId="0" xfId="64" applyNumberFormat="1" applyFont="1" applyFill="1" applyBorder="1" applyAlignment="1">
      <alignment vertical="center"/>
    </xf>
    <xf numFmtId="0" fontId="34" fillId="5" borderId="1" xfId="0" applyFont="1" applyFill="1" applyBorder="1" applyAlignment="1">
      <alignment horizontal="left" vertical="center"/>
    </xf>
    <xf numFmtId="4" fontId="34" fillId="5" borderId="1" xfId="0" applyNumberFormat="1" applyFont="1" applyFill="1" applyBorder="1" applyAlignment="1">
      <alignment horizontal="center" vertical="center"/>
    </xf>
    <xf numFmtId="10" fontId="34" fillId="8" borderId="0" xfId="0" applyNumberFormat="1" applyFont="1" applyFill="1" applyBorder="1" applyAlignment="1">
      <alignment horizontal="right" vertical="center"/>
    </xf>
    <xf numFmtId="4" fontId="34" fillId="8" borderId="0" xfId="0" applyNumberFormat="1" applyFont="1" applyFill="1" applyBorder="1" applyAlignment="1">
      <alignment vertical="center"/>
    </xf>
    <xf numFmtId="4" fontId="35" fillId="5" borderId="1" xfId="0" applyNumberFormat="1" applyFont="1" applyFill="1" applyBorder="1" applyAlignment="1">
      <alignment vertical="center"/>
    </xf>
    <xf numFmtId="10" fontId="35" fillId="7" borderId="0" xfId="0" applyNumberFormat="1" applyFont="1" applyFill="1" applyBorder="1" applyAlignment="1">
      <alignment horizontal="right" vertical="center"/>
    </xf>
    <xf numFmtId="4" fontId="35" fillId="7" borderId="0" xfId="0" applyNumberFormat="1" applyFont="1" applyFill="1" applyBorder="1" applyAlignment="1">
      <alignment vertical="center"/>
    </xf>
    <xf numFmtId="0" fontId="34" fillId="0" borderId="1" xfId="0" applyFont="1" applyFill="1" applyBorder="1" applyAlignment="1">
      <alignment horizontal="left" vertical="center"/>
    </xf>
    <xf numFmtId="0" fontId="34" fillId="0" borderId="1" xfId="0" applyFont="1" applyFill="1" applyBorder="1" applyAlignment="1">
      <alignment horizontal="justify" vertical="center" wrapText="1"/>
    </xf>
    <xf numFmtId="4" fontId="34" fillId="5" borderId="0" xfId="45" applyNumberFormat="1" applyFont="1" applyFill="1" applyBorder="1" applyAlignment="1">
      <alignment vertical="center"/>
    </xf>
    <xf numFmtId="0" fontId="35" fillId="5" borderId="0" xfId="0" applyFont="1" applyFill="1" applyBorder="1" applyAlignment="1">
      <alignment vertical="center" wrapText="1"/>
    </xf>
    <xf numFmtId="4" fontId="35" fillId="5" borderId="0" xfId="0" applyNumberFormat="1" applyFont="1" applyFill="1" applyBorder="1" applyAlignment="1">
      <alignment horizontal="center" vertical="center" wrapText="1"/>
    </xf>
    <xf numFmtId="4" fontId="35" fillId="6" borderId="0" xfId="0" applyNumberFormat="1" applyFont="1" applyFill="1" applyBorder="1" applyAlignment="1">
      <alignment horizontal="center" vertical="center" wrapText="1"/>
    </xf>
    <xf numFmtId="4" fontId="35" fillId="7" borderId="0" xfId="0" applyNumberFormat="1" applyFont="1" applyFill="1" applyBorder="1" applyAlignment="1">
      <alignment horizontal="center" vertical="center" wrapText="1"/>
    </xf>
    <xf numFmtId="4" fontId="35" fillId="7" borderId="0" xfId="0" applyNumberFormat="1" applyFont="1" applyFill="1" applyBorder="1" applyAlignment="1">
      <alignment horizontal="center"/>
    </xf>
    <xf numFmtId="0" fontId="35" fillId="5" borderId="0" xfId="0" applyFont="1" applyFill="1" applyBorder="1" applyAlignment="1">
      <alignment horizontal="center" vertical="center" wrapText="1"/>
    </xf>
    <xf numFmtId="0" fontId="34" fillId="0" borderId="5" xfId="0" applyFont="1" applyFill="1" applyBorder="1" applyAlignment="1">
      <alignment horizontal="left" vertical="center" wrapText="1"/>
    </xf>
    <xf numFmtId="0" fontId="34" fillId="0" borderId="0" xfId="0" applyFont="1" applyFill="1" applyAlignment="1">
      <alignment vertical="center" wrapText="1"/>
    </xf>
    <xf numFmtId="0" fontId="34" fillId="0" borderId="5" xfId="0" applyFont="1" applyFill="1" applyBorder="1" applyAlignment="1">
      <alignment horizontal="center" vertical="center" wrapText="1"/>
    </xf>
    <xf numFmtId="0" fontId="34" fillId="0" borderId="5" xfId="0" applyNumberFormat="1" applyFont="1" applyFill="1" applyBorder="1" applyAlignment="1">
      <alignment horizontal="center" vertical="center" wrapText="1"/>
    </xf>
    <xf numFmtId="4" fontId="34" fillId="0" borderId="5" xfId="0" applyNumberFormat="1" applyFont="1" applyFill="1" applyBorder="1" applyAlignment="1">
      <alignment horizontal="right" vertical="center" wrapText="1"/>
    </xf>
    <xf numFmtId="0" fontId="34" fillId="0" borderId="1" xfId="0" applyFont="1" applyFill="1" applyBorder="1" applyAlignment="1">
      <alignment vertical="center" wrapText="1"/>
    </xf>
    <xf numFmtId="2" fontId="34" fillId="0" borderId="1" xfId="0" applyNumberFormat="1" applyFont="1" applyFill="1" applyBorder="1" applyAlignment="1">
      <alignment horizontal="center" vertical="center" wrapText="1"/>
    </xf>
    <xf numFmtId="0" fontId="34" fillId="0" borderId="1" xfId="0" applyFont="1" applyFill="1" applyBorder="1" applyAlignment="1">
      <alignment horizontal="center" vertical="center"/>
    </xf>
    <xf numFmtId="0" fontId="34" fillId="0" borderId="1" xfId="25" applyFont="1" applyFill="1" applyBorder="1" applyAlignment="1">
      <alignment horizontal="center" vertical="center" wrapText="1"/>
    </xf>
    <xf numFmtId="4" fontId="9" fillId="5" borderId="1" xfId="0" applyNumberFormat="1" applyFont="1" applyFill="1" applyBorder="1" applyAlignment="1">
      <alignment horizontal="right" wrapText="1"/>
    </xf>
    <xf numFmtId="0" fontId="32" fillId="14" borderId="1" xfId="0" applyFont="1" applyFill="1" applyBorder="1" applyAlignment="1">
      <alignment vertical="center" wrapText="1"/>
    </xf>
    <xf numFmtId="0" fontId="32" fillId="14" borderId="1" xfId="0" applyFont="1" applyFill="1" applyBorder="1" applyAlignment="1">
      <alignment horizontal="center" vertical="center" wrapText="1"/>
    </xf>
    <xf numFmtId="0" fontId="32" fillId="14" borderId="1" xfId="0" applyFont="1" applyFill="1" applyBorder="1" applyAlignment="1">
      <alignment horizontal="right" wrapText="1"/>
    </xf>
    <xf numFmtId="0" fontId="35" fillId="0" borderId="1" xfId="0" applyFont="1" applyFill="1" applyBorder="1" applyAlignment="1">
      <alignment horizontal="left" vertical="center"/>
    </xf>
    <xf numFmtId="0" fontId="35" fillId="0" borderId="1" xfId="0" applyFont="1" applyFill="1" applyBorder="1" applyAlignment="1">
      <alignment vertical="center" wrapText="1"/>
    </xf>
    <xf numFmtId="0" fontId="37" fillId="0" borderId="1" xfId="0" applyFont="1" applyFill="1" applyBorder="1" applyAlignment="1">
      <alignment horizontal="center" vertical="center" wrapText="1"/>
    </xf>
    <xf numFmtId="4" fontId="35" fillId="0" borderId="1" xfId="0" applyNumberFormat="1" applyFont="1" applyFill="1" applyBorder="1" applyAlignment="1">
      <alignment vertical="center"/>
    </xf>
    <xf numFmtId="0" fontId="35" fillId="0" borderId="1" xfId="0" applyFont="1" applyFill="1" applyBorder="1" applyAlignment="1">
      <alignment horizontal="left" vertical="center" wrapText="1"/>
    </xf>
    <xf numFmtId="4" fontId="35" fillId="0" borderId="5" xfId="0" applyNumberFormat="1" applyFont="1" applyFill="1" applyBorder="1" applyAlignment="1">
      <alignment vertical="center"/>
    </xf>
    <xf numFmtId="0" fontId="34" fillId="5" borderId="1" xfId="0" applyFont="1" applyFill="1" applyBorder="1" applyAlignment="1">
      <alignment vertical="center" wrapText="1"/>
    </xf>
    <xf numFmtId="0" fontId="34" fillId="5" borderId="1" xfId="0" applyFont="1" applyFill="1" applyBorder="1" applyAlignment="1">
      <alignment horizontal="center" vertical="center"/>
    </xf>
    <xf numFmtId="1" fontId="34" fillId="5" borderId="1" xfId="0" applyNumberFormat="1" applyFont="1" applyFill="1" applyBorder="1" applyAlignment="1">
      <alignment horizontal="center" vertical="center" wrapText="1"/>
    </xf>
    <xf numFmtId="4" fontId="34" fillId="5" borderId="5" xfId="0" applyNumberFormat="1" applyFont="1" applyFill="1" applyBorder="1" applyAlignment="1">
      <alignment horizontal="right" vertical="center" wrapText="1"/>
    </xf>
    <xf numFmtId="0" fontId="38" fillId="14" borderId="0" xfId="0" applyFont="1" applyFill="1" applyAlignment="1">
      <alignment vertical="center" wrapText="1"/>
    </xf>
    <xf numFmtId="4" fontId="9" fillId="5" borderId="16" xfId="0" applyNumberFormat="1" applyFont="1" applyFill="1" applyBorder="1" applyAlignment="1">
      <alignment horizontal="right" wrapText="1"/>
    </xf>
    <xf numFmtId="0" fontId="32" fillId="14" borderId="0" xfId="0" applyFont="1" applyFill="1" applyAlignment="1">
      <alignment vertical="center" wrapText="1"/>
    </xf>
    <xf numFmtId="0" fontId="32" fillId="14" borderId="7" xfId="0" applyFont="1" applyFill="1" applyBorder="1" applyAlignment="1">
      <alignment horizontal="center" vertical="center" wrapText="1"/>
    </xf>
    <xf numFmtId="4" fontId="32" fillId="14" borderId="1" xfId="0" applyNumberFormat="1" applyFont="1" applyFill="1" applyBorder="1" applyAlignment="1">
      <alignment horizontal="right" vertical="center" wrapText="1"/>
    </xf>
    <xf numFmtId="2" fontId="34" fillId="5" borderId="1" xfId="0" quotePrefix="1" applyNumberFormat="1" applyFont="1" applyFill="1" applyBorder="1" applyAlignment="1">
      <alignment horizontal="center" vertical="center" wrapText="1"/>
    </xf>
    <xf numFmtId="4" fontId="34" fillId="5" borderId="5" xfId="0" applyNumberFormat="1" applyFont="1" applyFill="1" applyBorder="1" applyAlignment="1">
      <alignment horizontal="center" vertical="center" wrapText="1"/>
    </xf>
    <xf numFmtId="0" fontId="38" fillId="5" borderId="0" xfId="0" applyFont="1" applyFill="1" applyAlignment="1">
      <alignment horizontal="center" vertical="center"/>
    </xf>
    <xf numFmtId="4" fontId="37" fillId="5" borderId="1" xfId="0" applyNumberFormat="1" applyFont="1" applyFill="1" applyBorder="1" applyAlignment="1">
      <alignment horizontal="center" vertical="center" wrapText="1"/>
    </xf>
    <xf numFmtId="4" fontId="37" fillId="5" borderId="0" xfId="0" applyNumberFormat="1" applyFont="1" applyFill="1" applyAlignment="1">
      <alignment horizontal="center" vertical="center"/>
    </xf>
    <xf numFmtId="4" fontId="35" fillId="5" borderId="35" xfId="0" applyNumberFormat="1" applyFont="1" applyFill="1" applyBorder="1" applyAlignment="1">
      <alignment horizontal="right"/>
    </xf>
    <xf numFmtId="165" fontId="16" fillId="0" borderId="1" xfId="50" applyFont="1" applyBorder="1"/>
    <xf numFmtId="0" fontId="16" fillId="0" borderId="0" xfId="0" applyFont="1" applyBorder="1" applyAlignment="1">
      <alignment horizontal="left"/>
    </xf>
    <xf numFmtId="0" fontId="40" fillId="0" borderId="0" xfId="22" applyFont="1"/>
    <xf numFmtId="10" fontId="40" fillId="0" borderId="1" xfId="34" applyNumberFormat="1" applyFont="1" applyBorder="1"/>
    <xf numFmtId="0" fontId="40" fillId="0" borderId="1" xfId="22" applyFont="1" applyBorder="1"/>
    <xf numFmtId="10" fontId="40" fillId="0" borderId="1" xfId="34" applyNumberFormat="1" applyFont="1" applyBorder="1" applyAlignment="1">
      <alignment horizontal="center" vertical="center"/>
    </xf>
    <xf numFmtId="0" fontId="9" fillId="0" borderId="1" xfId="22" applyBorder="1" applyAlignment="1">
      <alignment horizontal="center" vertical="center"/>
    </xf>
    <xf numFmtId="0" fontId="9" fillId="0" borderId="1" xfId="22" applyBorder="1" applyAlignment="1">
      <alignment vertical="center"/>
    </xf>
    <xf numFmtId="10" fontId="1" fillId="0" borderId="1" xfId="34" applyNumberFormat="1" applyFont="1" applyBorder="1" applyAlignment="1">
      <alignment horizontal="center" vertical="center"/>
    </xf>
    <xf numFmtId="0" fontId="9" fillId="9" borderId="1" xfId="22" applyFill="1" applyBorder="1" applyAlignment="1">
      <alignment horizontal="center" vertical="center"/>
    </xf>
    <xf numFmtId="0" fontId="9" fillId="9" borderId="1" xfId="22" applyFill="1" applyBorder="1" applyAlignment="1">
      <alignment vertical="center"/>
    </xf>
    <xf numFmtId="10" fontId="1" fillId="9" borderId="1" xfId="34" applyNumberFormat="1" applyFont="1" applyFill="1" applyBorder="1" applyAlignment="1">
      <alignment horizontal="center" vertical="center"/>
    </xf>
    <xf numFmtId="0" fontId="40" fillId="9" borderId="1" xfId="22" applyFont="1" applyFill="1" applyBorder="1" applyAlignment="1">
      <alignment horizontal="center" vertical="center"/>
    </xf>
    <xf numFmtId="10" fontId="40" fillId="9" borderId="1" xfId="34" applyNumberFormat="1" applyFont="1" applyFill="1" applyBorder="1" applyAlignment="1">
      <alignment horizontal="center" vertical="center"/>
    </xf>
    <xf numFmtId="0" fontId="40" fillId="0" borderId="1" xfId="22" applyFont="1" applyBorder="1" applyAlignment="1">
      <alignment horizontal="center" vertical="center"/>
    </xf>
    <xf numFmtId="0" fontId="40" fillId="9" borderId="1" xfId="22" applyFont="1" applyFill="1" applyBorder="1" applyAlignment="1">
      <alignment vertical="center"/>
    </xf>
    <xf numFmtId="0" fontId="9" fillId="9" borderId="1" xfId="22" applyFill="1" applyBorder="1" applyAlignment="1">
      <alignment vertical="center" wrapText="1"/>
    </xf>
    <xf numFmtId="10" fontId="39" fillId="15" borderId="1" xfId="34" applyNumberFormat="1" applyFont="1" applyFill="1" applyBorder="1" applyAlignment="1">
      <alignment horizontal="center" vertical="center"/>
    </xf>
    <xf numFmtId="10" fontId="40" fillId="0" borderId="0" xfId="34" applyNumberFormat="1" applyFont="1"/>
    <xf numFmtId="0" fontId="9" fillId="0" borderId="0" xfId="22" applyAlignment="1">
      <alignment horizontal="left" vertical="top"/>
    </xf>
    <xf numFmtId="0" fontId="48" fillId="0" borderId="1" xfId="22" applyFont="1" applyBorder="1" applyAlignment="1">
      <alignment horizontal="left" vertical="top" wrapText="1" indent="3"/>
    </xf>
    <xf numFmtId="0" fontId="16" fillId="0" borderId="39" xfId="22" applyFont="1" applyBorder="1" applyAlignment="1">
      <alignment horizontal="left" vertical="top" wrapText="1"/>
    </xf>
    <xf numFmtId="0" fontId="9" fillId="0" borderId="39" xfId="22" applyBorder="1" applyAlignment="1">
      <alignment horizontal="left" wrapText="1"/>
    </xf>
    <xf numFmtId="10" fontId="41" fillId="0" borderId="39" xfId="22" applyNumberFormat="1" applyFont="1" applyBorder="1" applyAlignment="1">
      <alignment horizontal="right" vertical="top" shrinkToFit="1"/>
    </xf>
    <xf numFmtId="0" fontId="16" fillId="0" borderId="40" xfId="22" applyFont="1" applyBorder="1" applyAlignment="1">
      <alignment horizontal="left" vertical="top" wrapText="1"/>
    </xf>
    <xf numFmtId="0" fontId="9" fillId="0" borderId="40" xfId="22" applyBorder="1" applyAlignment="1">
      <alignment horizontal="left" wrapText="1"/>
    </xf>
    <xf numFmtId="10" fontId="41" fillId="0" borderId="40" xfId="22" applyNumberFormat="1" applyFont="1" applyBorder="1" applyAlignment="1">
      <alignment horizontal="right" vertical="top" shrinkToFit="1"/>
    </xf>
    <xf numFmtId="10" fontId="49" fillId="0" borderId="40" xfId="22" applyNumberFormat="1" applyFont="1" applyBorder="1" applyAlignment="1">
      <alignment horizontal="right" vertical="top" shrinkToFit="1"/>
    </xf>
    <xf numFmtId="0" fontId="48" fillId="0" borderId="40" xfId="22" applyFont="1" applyBorder="1" applyAlignment="1">
      <alignment horizontal="left" vertical="top" wrapText="1" indent="3"/>
    </xf>
    <xf numFmtId="0" fontId="9" fillId="0" borderId="40" xfId="22" applyBorder="1" applyAlignment="1">
      <alignment horizontal="left" vertical="top" wrapText="1"/>
    </xf>
    <xf numFmtId="0" fontId="32" fillId="0" borderId="0" xfId="22" applyFont="1" applyAlignment="1">
      <alignment horizontal="left" vertical="top"/>
    </xf>
    <xf numFmtId="0" fontId="34" fillId="5" borderId="10" xfId="0" applyFont="1" applyFill="1" applyBorder="1" applyAlignment="1">
      <alignment horizontal="center"/>
    </xf>
    <xf numFmtId="0" fontId="34" fillId="5" borderId="20" xfId="0" applyFont="1" applyFill="1" applyBorder="1" applyAlignment="1">
      <alignment horizontal="center"/>
    </xf>
    <xf numFmtId="0" fontId="35" fillId="5" borderId="10" xfId="0" applyFont="1" applyFill="1" applyBorder="1" applyAlignment="1">
      <alignment horizontal="right" vertical="center" wrapText="1"/>
    </xf>
    <xf numFmtId="0" fontId="35" fillId="5" borderId="20" xfId="0" applyFont="1" applyFill="1" applyBorder="1" applyAlignment="1">
      <alignment horizontal="right" vertical="center" wrapText="1"/>
    </xf>
    <xf numFmtId="10" fontId="35" fillId="5" borderId="10" xfId="0" applyNumberFormat="1" applyFont="1" applyFill="1" applyBorder="1" applyAlignment="1">
      <alignment horizontal="right" vertical="center"/>
    </xf>
    <xf numFmtId="10" fontId="35" fillId="5" borderId="18" xfId="0" applyNumberFormat="1" applyFont="1" applyFill="1" applyBorder="1" applyAlignment="1">
      <alignment horizontal="right" vertical="center"/>
    </xf>
    <xf numFmtId="0" fontId="34" fillId="5" borderId="10" xfId="0" quotePrefix="1" applyFont="1" applyFill="1" applyBorder="1" applyAlignment="1">
      <alignment horizontal="center" vertical="center" wrapText="1"/>
    </xf>
    <xf numFmtId="0" fontId="34" fillId="5" borderId="20" xfId="0" quotePrefix="1" applyFont="1" applyFill="1" applyBorder="1" applyAlignment="1">
      <alignment horizontal="center" vertical="center" wrapText="1"/>
    </xf>
    <xf numFmtId="0" fontId="34" fillId="5" borderId="18" xfId="0" quotePrefix="1" applyFont="1" applyFill="1" applyBorder="1" applyAlignment="1">
      <alignment horizontal="center" vertical="center" wrapText="1"/>
    </xf>
    <xf numFmtId="0" fontId="24" fillId="8" borderId="0" xfId="24" applyFont="1" applyFill="1" applyBorder="1"/>
    <xf numFmtId="10" fontId="35" fillId="5" borderId="10" xfId="0" applyNumberFormat="1" applyFont="1" applyFill="1" applyBorder="1" applyAlignment="1">
      <alignment horizontal="right" vertical="center" wrapText="1"/>
    </xf>
    <xf numFmtId="10" fontId="35" fillId="5" borderId="18" xfId="0" applyNumberFormat="1" applyFont="1" applyFill="1" applyBorder="1" applyAlignment="1">
      <alignment horizontal="right" vertical="center" wrapText="1"/>
    </xf>
    <xf numFmtId="0" fontId="34" fillId="5" borderId="20" xfId="0" applyFont="1" applyFill="1" applyBorder="1" applyAlignment="1">
      <alignment vertical="center" wrapText="1"/>
    </xf>
    <xf numFmtId="0" fontId="34" fillId="5" borderId="18" xfId="0" applyFont="1" applyFill="1" applyBorder="1" applyAlignment="1">
      <alignment vertical="center" wrapText="1"/>
    </xf>
    <xf numFmtId="0" fontId="34" fillId="5" borderId="10" xfId="0" applyFont="1" applyFill="1" applyBorder="1" applyAlignment="1">
      <alignment vertical="center"/>
    </xf>
    <xf numFmtId="0" fontId="34" fillId="5" borderId="20" xfId="0" applyFont="1" applyFill="1" applyBorder="1" applyAlignment="1">
      <alignment vertical="center"/>
    </xf>
    <xf numFmtId="0" fontId="34" fillId="5" borderId="18" xfId="0" applyFont="1" applyFill="1" applyBorder="1" applyAlignment="1">
      <alignment vertical="center"/>
    </xf>
    <xf numFmtId="10" fontId="34" fillId="8" borderId="0" xfId="0" applyNumberFormat="1" applyFont="1" applyFill="1" applyBorder="1" applyAlignment="1">
      <alignment horizontal="center" vertical="center" wrapText="1"/>
    </xf>
    <xf numFmtId="10" fontId="7" fillId="0" borderId="0" xfId="44" applyNumberFormat="1" applyFont="1" applyBorder="1" applyAlignment="1">
      <alignment horizontal="center" vertical="center" wrapText="1"/>
    </xf>
    <xf numFmtId="0" fontId="8" fillId="0" borderId="6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right" vertical="center" wrapText="1"/>
    </xf>
    <xf numFmtId="0" fontId="7" fillId="0" borderId="0" xfId="0" applyFont="1" applyBorder="1" applyAlignment="1">
      <alignment horizontal="right" vertical="center" wrapText="1"/>
    </xf>
    <xf numFmtId="0" fontId="7" fillId="0" borderId="11" xfId="0" applyFont="1" applyBorder="1" applyAlignment="1">
      <alignment horizontal="right" vertical="center" wrapText="1"/>
    </xf>
    <xf numFmtId="0" fontId="12" fillId="0" borderId="0" xfId="0" applyFont="1" applyBorder="1" applyAlignment="1">
      <alignment horizontal="center" vertical="center"/>
    </xf>
    <xf numFmtId="0" fontId="8" fillId="5" borderId="10" xfId="0" applyFont="1" applyFill="1" applyBorder="1" applyAlignment="1">
      <alignment horizontal="center" vertical="center" wrapText="1"/>
    </xf>
    <xf numFmtId="0" fontId="8" fillId="5" borderId="20" xfId="0" applyFont="1" applyFill="1" applyBorder="1" applyAlignment="1">
      <alignment horizontal="center" vertical="center" wrapText="1"/>
    </xf>
    <xf numFmtId="0" fontId="12" fillId="5" borderId="20" xfId="0" applyFont="1" applyFill="1" applyBorder="1" applyAlignment="1">
      <alignment horizontal="right" vertical="center" wrapText="1"/>
    </xf>
    <xf numFmtId="0" fontId="12" fillId="5" borderId="18" xfId="0" applyFont="1" applyFill="1" applyBorder="1" applyAlignment="1">
      <alignment horizontal="right" vertical="center" wrapText="1"/>
    </xf>
    <xf numFmtId="0" fontId="35" fillId="5" borderId="5" xfId="0" applyFont="1" applyFill="1" applyBorder="1" applyAlignment="1">
      <alignment horizontal="center" vertical="center" wrapText="1"/>
    </xf>
    <xf numFmtId="0" fontId="34" fillId="0" borderId="4" xfId="0" applyFont="1" applyBorder="1" applyAlignment="1">
      <alignment horizontal="center" vertical="center" wrapText="1"/>
    </xf>
    <xf numFmtId="0" fontId="34" fillId="0" borderId="7" xfId="0" applyFont="1" applyBorder="1" applyAlignment="1">
      <alignment horizontal="center" vertical="center" wrapText="1"/>
    </xf>
    <xf numFmtId="0" fontId="24" fillId="0" borderId="0" xfId="24" applyFont="1" applyBorder="1"/>
    <xf numFmtId="14" fontId="35" fillId="7" borderId="0" xfId="0" applyNumberFormat="1" applyFont="1" applyFill="1" applyBorder="1" applyAlignment="1">
      <alignment horizontal="center" vertical="center" wrapText="1"/>
    </xf>
    <xf numFmtId="0" fontId="35" fillId="5" borderId="1" xfId="0" applyFont="1" applyFill="1" applyBorder="1" applyAlignment="1">
      <alignment horizontal="center" vertical="center" wrapText="1"/>
    </xf>
    <xf numFmtId="4" fontId="35" fillId="7" borderId="0" xfId="0" applyNumberFormat="1" applyFont="1" applyFill="1" applyBorder="1" applyAlignment="1">
      <alignment horizontal="center" vertical="center" wrapText="1"/>
    </xf>
    <xf numFmtId="10" fontId="34" fillId="7" borderId="0" xfId="0" applyNumberFormat="1" applyFont="1" applyFill="1" applyBorder="1" applyAlignment="1">
      <alignment horizontal="center" vertical="center" wrapText="1"/>
    </xf>
    <xf numFmtId="0" fontId="26" fillId="0" borderId="6" xfId="0" applyFont="1" applyBorder="1" applyAlignment="1">
      <alignment horizontal="center" vertical="center" wrapText="1"/>
    </xf>
    <xf numFmtId="0" fontId="26" fillId="0" borderId="0" xfId="0" applyFont="1" applyBorder="1" applyAlignment="1">
      <alignment horizontal="center" vertical="center" wrapText="1"/>
    </xf>
    <xf numFmtId="0" fontId="26" fillId="0" borderId="11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12" fillId="13" borderId="0" xfId="0" applyFont="1" applyFill="1" applyBorder="1" applyAlignment="1">
      <alignment horizontal="right" vertical="center" wrapText="1"/>
    </xf>
    <xf numFmtId="0" fontId="12" fillId="13" borderId="11" xfId="0" applyFont="1" applyFill="1" applyBorder="1" applyAlignment="1">
      <alignment horizontal="right" vertical="center" wrapText="1"/>
    </xf>
    <xf numFmtId="167" fontId="35" fillId="5" borderId="1" xfId="0" applyNumberFormat="1" applyFont="1" applyFill="1" applyBorder="1" applyAlignment="1">
      <alignment horizontal="center" vertical="center" wrapText="1"/>
    </xf>
    <xf numFmtId="0" fontId="0" fillId="0" borderId="12" xfId="0" applyBorder="1" applyAlignment="1">
      <alignment wrapText="1"/>
    </xf>
    <xf numFmtId="0" fontId="0" fillId="0" borderId="17" xfId="0" applyBorder="1" applyAlignment="1">
      <alignment wrapText="1"/>
    </xf>
    <xf numFmtId="0" fontId="0" fillId="0" borderId="9" xfId="0" applyBorder="1" applyAlignment="1">
      <alignment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35" fillId="5" borderId="4" xfId="0" applyFont="1" applyFill="1" applyBorder="1" applyAlignment="1">
      <alignment horizontal="center" vertical="center" wrapText="1"/>
    </xf>
    <xf numFmtId="0" fontId="35" fillId="5" borderId="7" xfId="0" applyFont="1" applyFill="1" applyBorder="1" applyAlignment="1">
      <alignment horizontal="center" vertical="center" wrapText="1"/>
    </xf>
    <xf numFmtId="4" fontId="35" fillId="5" borderId="12" xfId="0" applyNumberFormat="1" applyFont="1" applyFill="1" applyBorder="1" applyAlignment="1">
      <alignment horizontal="center" vertical="center" wrapText="1"/>
    </xf>
    <xf numFmtId="4" fontId="35" fillId="5" borderId="17" xfId="0" applyNumberFormat="1" applyFont="1" applyFill="1" applyBorder="1" applyAlignment="1">
      <alignment horizontal="center" vertical="center" wrapText="1"/>
    </xf>
    <xf numFmtId="4" fontId="35" fillId="5" borderId="9" xfId="0" applyNumberFormat="1" applyFont="1" applyFill="1" applyBorder="1" applyAlignment="1">
      <alignment horizontal="center" vertical="center" wrapText="1"/>
    </xf>
    <xf numFmtId="0" fontId="34" fillId="0" borderId="8" xfId="0" applyFont="1" applyBorder="1" applyAlignment="1">
      <alignment horizontal="center" vertical="center" wrapText="1"/>
    </xf>
    <xf numFmtId="0" fontId="34" fillId="0" borderId="3" xfId="0" applyFont="1" applyBorder="1" applyAlignment="1">
      <alignment horizontal="center" vertical="center" wrapText="1"/>
    </xf>
    <xf numFmtId="0" fontId="34" fillId="0" borderId="22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35" fillId="5" borderId="8" xfId="0" applyFont="1" applyFill="1" applyBorder="1" applyAlignment="1">
      <alignment horizontal="center" vertical="center" wrapText="1"/>
    </xf>
    <xf numFmtId="0" fontId="35" fillId="5" borderId="3" xfId="0" applyFont="1" applyFill="1" applyBorder="1" applyAlignment="1">
      <alignment horizontal="center" vertical="center" wrapText="1"/>
    </xf>
    <xf numFmtId="0" fontId="35" fillId="5" borderId="22" xfId="0" applyFont="1" applyFill="1" applyBorder="1" applyAlignment="1">
      <alignment horizontal="center" vertical="center" wrapText="1"/>
    </xf>
    <xf numFmtId="0" fontId="35" fillId="0" borderId="12" xfId="0" applyFont="1" applyFill="1" applyBorder="1" applyAlignment="1">
      <alignment horizontal="right" vertical="center" wrapText="1"/>
    </xf>
    <xf numFmtId="0" fontId="35" fillId="0" borderId="17" xfId="0" applyFont="1" applyFill="1" applyBorder="1" applyAlignment="1">
      <alignment horizontal="right" vertical="center" wrapText="1"/>
    </xf>
    <xf numFmtId="0" fontId="35" fillId="0" borderId="9" xfId="0" applyFont="1" applyFill="1" applyBorder="1" applyAlignment="1">
      <alignment horizontal="right" vertical="center" wrapText="1"/>
    </xf>
    <xf numFmtId="10" fontId="35" fillId="0" borderId="12" xfId="0" applyNumberFormat="1" applyFont="1" applyFill="1" applyBorder="1" applyAlignment="1">
      <alignment horizontal="right" vertical="center"/>
    </xf>
    <xf numFmtId="10" fontId="35" fillId="0" borderId="9" xfId="0" applyNumberFormat="1" applyFont="1" applyFill="1" applyBorder="1" applyAlignment="1">
      <alignment horizontal="right" vertical="center"/>
    </xf>
    <xf numFmtId="0" fontId="35" fillId="0" borderId="12" xfId="0" applyFont="1" applyFill="1" applyBorder="1" applyAlignment="1">
      <alignment horizontal="right"/>
    </xf>
    <xf numFmtId="0" fontId="35" fillId="0" borderId="17" xfId="0" applyFont="1" applyFill="1" applyBorder="1" applyAlignment="1">
      <alignment horizontal="right"/>
    </xf>
    <xf numFmtId="0" fontId="35" fillId="0" borderId="34" xfId="0" applyFont="1" applyFill="1" applyBorder="1" applyAlignment="1">
      <alignment horizontal="right"/>
    </xf>
    <xf numFmtId="0" fontId="35" fillId="5" borderId="20" xfId="0" quotePrefix="1" applyFont="1" applyFill="1" applyBorder="1" applyAlignment="1">
      <alignment horizontal="center" vertical="center" wrapText="1"/>
    </xf>
    <xf numFmtId="0" fontId="35" fillId="5" borderId="18" xfId="0" quotePrefix="1" applyFont="1" applyFill="1" applyBorder="1" applyAlignment="1">
      <alignment horizontal="center" vertical="center" wrapText="1"/>
    </xf>
    <xf numFmtId="0" fontId="35" fillId="0" borderId="10" xfId="0" quotePrefix="1" applyFont="1" applyFill="1" applyBorder="1" applyAlignment="1">
      <alignment horizontal="center" vertical="center" wrapText="1"/>
    </xf>
    <xf numFmtId="0" fontId="35" fillId="0" borderId="20" xfId="0" quotePrefix="1" applyFont="1" applyFill="1" applyBorder="1" applyAlignment="1">
      <alignment horizontal="center" vertical="center" wrapText="1"/>
    </xf>
    <xf numFmtId="0" fontId="35" fillId="0" borderId="18" xfId="0" quotePrefix="1" applyFont="1" applyFill="1" applyBorder="1" applyAlignment="1">
      <alignment horizontal="center" vertical="center" wrapText="1"/>
    </xf>
    <xf numFmtId="0" fontId="35" fillId="0" borderId="10" xfId="0" applyFont="1" applyFill="1" applyBorder="1" applyAlignment="1">
      <alignment horizontal="right" vertical="center" wrapText="1"/>
    </xf>
    <xf numFmtId="0" fontId="35" fillId="0" borderId="20" xfId="0" applyFont="1" applyFill="1" applyBorder="1" applyAlignment="1">
      <alignment horizontal="right" vertical="center" wrapText="1"/>
    </xf>
    <xf numFmtId="0" fontId="35" fillId="0" borderId="18" xfId="0" applyFont="1" applyFill="1" applyBorder="1" applyAlignment="1">
      <alignment horizontal="right" vertical="center" wrapText="1"/>
    </xf>
    <xf numFmtId="10" fontId="35" fillId="0" borderId="10" xfId="0" applyNumberFormat="1" applyFont="1" applyFill="1" applyBorder="1" applyAlignment="1">
      <alignment horizontal="right" vertical="center"/>
    </xf>
    <xf numFmtId="10" fontId="35" fillId="0" borderId="18" xfId="0" applyNumberFormat="1" applyFont="1" applyFill="1" applyBorder="1" applyAlignment="1">
      <alignment horizontal="right" vertical="center"/>
    </xf>
    <xf numFmtId="10" fontId="16" fillId="0" borderId="5" xfId="0" applyNumberFormat="1" applyFont="1" applyBorder="1" applyAlignment="1">
      <alignment horizontal="center" vertical="center"/>
    </xf>
    <xf numFmtId="10" fontId="16" fillId="0" borderId="7" xfId="0" applyNumberFormat="1" applyFont="1" applyBorder="1" applyAlignment="1">
      <alignment horizontal="center" vertical="center"/>
    </xf>
    <xf numFmtId="10" fontId="16" fillId="0" borderId="4" xfId="0" applyNumberFormat="1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0" borderId="5" xfId="0" applyFont="1" applyBorder="1" applyAlignment="1">
      <alignment horizontal="left" vertical="center"/>
    </xf>
    <xf numFmtId="0" fontId="16" fillId="0" borderId="4" xfId="0" applyFont="1" applyBorder="1" applyAlignment="1">
      <alignment horizontal="left" vertical="center"/>
    </xf>
    <xf numFmtId="10" fontId="16" fillId="0" borderId="1" xfId="34" applyNumberFormat="1" applyFont="1" applyBorder="1" applyAlignment="1">
      <alignment horizontal="center" vertical="center"/>
    </xf>
    <xf numFmtId="0" fontId="16" fillId="0" borderId="7" xfId="0" applyFont="1" applyBorder="1" applyAlignment="1">
      <alignment horizontal="left" vertical="center"/>
    </xf>
    <xf numFmtId="10" fontId="16" fillId="0" borderId="5" xfId="34" applyNumberFormat="1" applyFont="1" applyBorder="1" applyAlignment="1">
      <alignment horizontal="center" vertical="center"/>
    </xf>
    <xf numFmtId="10" fontId="16" fillId="0" borderId="4" xfId="34" applyNumberFormat="1" applyFont="1" applyBorder="1" applyAlignment="1">
      <alignment horizontal="center" vertical="center"/>
    </xf>
    <xf numFmtId="10" fontId="16" fillId="0" borderId="7" xfId="34" applyNumberFormat="1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165" fontId="16" fillId="0" borderId="4" xfId="34" applyNumberFormat="1" applyFont="1" applyFill="1" applyBorder="1" applyAlignment="1">
      <alignment horizontal="center" vertical="center"/>
    </xf>
    <xf numFmtId="165" fontId="16" fillId="0" borderId="7" xfId="34" applyNumberFormat="1" applyFont="1" applyFill="1" applyBorder="1" applyAlignment="1">
      <alignment horizontal="center" vertical="center"/>
    </xf>
    <xf numFmtId="4" fontId="18" fillId="0" borderId="13" xfId="0" applyNumberFormat="1" applyFont="1" applyBorder="1" applyAlignment="1">
      <alignment horizontal="center" wrapText="1"/>
    </xf>
    <xf numFmtId="0" fontId="15" fillId="0" borderId="0" xfId="0" applyFont="1" applyBorder="1" applyAlignment="1">
      <alignment horizontal="center" wrapText="1"/>
    </xf>
    <xf numFmtId="0" fontId="15" fillId="0" borderId="14" xfId="0" applyFont="1" applyBorder="1" applyAlignment="1">
      <alignment horizontal="center" wrapText="1"/>
    </xf>
    <xf numFmtId="0" fontId="7" fillId="0" borderId="25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165" fontId="16" fillId="5" borderId="5" xfId="34" applyNumberFormat="1" applyFont="1" applyFill="1" applyBorder="1" applyAlignment="1">
      <alignment horizontal="center" vertical="center"/>
    </xf>
    <xf numFmtId="165" fontId="16" fillId="5" borderId="4" xfId="34" applyNumberFormat="1" applyFont="1" applyFill="1" applyBorder="1" applyAlignment="1">
      <alignment horizontal="center" vertical="center"/>
    </xf>
    <xf numFmtId="165" fontId="16" fillId="5" borderId="7" xfId="34" applyNumberFormat="1" applyFont="1" applyFill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4" fontId="16" fillId="0" borderId="5" xfId="0" applyNumberFormat="1" applyFont="1" applyBorder="1" applyAlignment="1">
      <alignment horizontal="right" vertical="center"/>
    </xf>
    <xf numFmtId="4" fontId="16" fillId="0" borderId="7" xfId="0" applyNumberFormat="1" applyFont="1" applyBorder="1" applyAlignment="1">
      <alignment horizontal="right" vertical="center"/>
    </xf>
    <xf numFmtId="0" fontId="16" fillId="0" borderId="5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22" fillId="0" borderId="23" xfId="0" applyFont="1" applyBorder="1" applyAlignment="1">
      <alignment horizontal="center" wrapText="1"/>
    </xf>
    <xf numFmtId="0" fontId="0" fillId="0" borderId="24" xfId="0" applyBorder="1" applyAlignment="1">
      <alignment wrapText="1"/>
    </xf>
    <xf numFmtId="0" fontId="0" fillId="0" borderId="21" xfId="0" applyBorder="1" applyAlignment="1">
      <alignment wrapText="1"/>
    </xf>
    <xf numFmtId="4" fontId="8" fillId="0" borderId="13" xfId="0" applyNumberFormat="1" applyFont="1" applyBorder="1" applyAlignment="1">
      <alignment horizontal="center" wrapText="1"/>
    </xf>
    <xf numFmtId="0" fontId="11" fillId="0" borderId="0" xfId="0" applyFont="1" applyBorder="1" applyAlignment="1">
      <alignment horizontal="center" wrapText="1"/>
    </xf>
    <xf numFmtId="0" fontId="11" fillId="0" borderId="14" xfId="0" applyFont="1" applyBorder="1" applyAlignment="1">
      <alignment horizontal="center" wrapText="1"/>
    </xf>
    <xf numFmtId="0" fontId="19" fillId="0" borderId="5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10" fontId="16" fillId="0" borderId="5" xfId="34" applyNumberFormat="1" applyFont="1" applyBorder="1" applyAlignment="1">
      <alignment horizontal="center" vertical="center" wrapText="1"/>
    </xf>
    <xf numFmtId="10" fontId="16" fillId="0" borderId="4" xfId="34" applyNumberFormat="1" applyFont="1" applyBorder="1" applyAlignment="1">
      <alignment horizontal="center" vertical="center" wrapText="1"/>
    </xf>
    <xf numFmtId="10" fontId="16" fillId="0" borderId="7" xfId="34" applyNumberFormat="1" applyFont="1" applyBorder="1" applyAlignment="1">
      <alignment horizontal="center" vertical="center" wrapText="1"/>
    </xf>
    <xf numFmtId="0" fontId="19" fillId="0" borderId="36" xfId="0" applyFont="1" applyBorder="1" applyAlignment="1">
      <alignment horizontal="center"/>
    </xf>
    <xf numFmtId="0" fontId="19" fillId="0" borderId="37" xfId="0" applyFont="1" applyBorder="1" applyAlignment="1">
      <alignment horizontal="center"/>
    </xf>
    <xf numFmtId="0" fontId="16" fillId="0" borderId="5" xfId="0" applyFont="1" applyBorder="1" applyAlignment="1">
      <alignment horizontal="left" vertical="center" wrapText="1"/>
    </xf>
    <xf numFmtId="0" fontId="16" fillId="0" borderId="4" xfId="0" applyFont="1" applyBorder="1" applyAlignment="1">
      <alignment horizontal="left" vertical="center" wrapText="1"/>
    </xf>
    <xf numFmtId="0" fontId="16" fillId="0" borderId="7" xfId="0" applyFont="1" applyBorder="1" applyAlignment="1">
      <alignment horizontal="left" vertical="center" wrapText="1"/>
    </xf>
    <xf numFmtId="165" fontId="16" fillId="0" borderId="5" xfId="34" applyNumberFormat="1" applyFont="1" applyFill="1" applyBorder="1" applyAlignment="1">
      <alignment horizontal="center" vertical="center"/>
    </xf>
    <xf numFmtId="10" fontId="16" fillId="0" borderId="5" xfId="34" applyNumberFormat="1" applyFont="1" applyFill="1" applyBorder="1" applyAlignment="1">
      <alignment horizontal="center"/>
    </xf>
    <xf numFmtId="10" fontId="16" fillId="0" borderId="4" xfId="34" applyNumberFormat="1" applyFont="1" applyFill="1" applyBorder="1" applyAlignment="1">
      <alignment horizontal="center"/>
    </xf>
    <xf numFmtId="10" fontId="16" fillId="0" borderId="7" xfId="34" applyNumberFormat="1" applyFont="1" applyFill="1" applyBorder="1" applyAlignment="1">
      <alignment horizontal="center"/>
    </xf>
    <xf numFmtId="165" fontId="16" fillId="0" borderId="5" xfId="50" applyFont="1" applyFill="1" applyBorder="1" applyAlignment="1">
      <alignment horizontal="center"/>
    </xf>
    <xf numFmtId="165" fontId="16" fillId="0" borderId="4" xfId="50" applyFont="1" applyFill="1" applyBorder="1" applyAlignment="1">
      <alignment horizontal="center"/>
    </xf>
    <xf numFmtId="165" fontId="16" fillId="0" borderId="7" xfId="50" applyFont="1" applyFill="1" applyBorder="1" applyAlignment="1">
      <alignment horizontal="center"/>
    </xf>
    <xf numFmtId="0" fontId="17" fillId="0" borderId="23" xfId="0" applyFont="1" applyBorder="1" applyAlignment="1">
      <alignment horizontal="center" vertical="center" wrapText="1"/>
    </xf>
    <xf numFmtId="0" fontId="0" fillId="0" borderId="24" xfId="0" applyBorder="1" applyAlignment="1">
      <alignment vertical="center" wrapText="1"/>
    </xf>
    <xf numFmtId="0" fontId="0" fillId="0" borderId="21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19" fillId="0" borderId="4" xfId="0" applyFont="1" applyBorder="1" applyAlignment="1">
      <alignment horizontal="center" vertical="center"/>
    </xf>
    <xf numFmtId="0" fontId="33" fillId="0" borderId="13" xfId="0" applyFont="1" applyBorder="1" applyAlignment="1">
      <alignment horizontal="center"/>
    </xf>
    <xf numFmtId="0" fontId="33" fillId="0" borderId="0" xfId="0" applyFont="1" applyBorder="1" applyAlignment="1">
      <alignment horizontal="center"/>
    </xf>
    <xf numFmtId="0" fontId="33" fillId="0" borderId="14" xfId="0" applyFont="1" applyBorder="1" applyAlignment="1">
      <alignment horizontal="center"/>
    </xf>
    <xf numFmtId="0" fontId="7" fillId="0" borderId="13" xfId="0" applyFont="1" applyBorder="1" applyAlignment="1">
      <alignment horizontal="center" wrapText="1"/>
    </xf>
    <xf numFmtId="0" fontId="7" fillId="0" borderId="0" xfId="0" applyFont="1" applyBorder="1" applyAlignment="1">
      <alignment horizontal="center" wrapText="1"/>
    </xf>
    <xf numFmtId="0" fontId="7" fillId="0" borderId="14" xfId="0" applyFont="1" applyBorder="1" applyAlignment="1">
      <alignment horizontal="center" wrapText="1"/>
    </xf>
    <xf numFmtId="0" fontId="8" fillId="0" borderId="2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19" fillId="0" borderId="8" xfId="0" applyFont="1" applyBorder="1" applyAlignment="1">
      <alignment horizontal="center"/>
    </xf>
    <xf numFmtId="0" fontId="19" fillId="0" borderId="22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39" fillId="15" borderId="1" xfId="22" applyFont="1" applyFill="1" applyBorder="1" applyAlignment="1">
      <alignment horizontal="center" vertical="center"/>
    </xf>
    <xf numFmtId="0" fontId="44" fillId="0" borderId="0" xfId="22" applyFont="1" applyAlignment="1">
      <alignment horizontal="left"/>
    </xf>
    <xf numFmtId="0" fontId="39" fillId="15" borderId="1" xfId="22" applyFont="1" applyFill="1" applyBorder="1" applyAlignment="1">
      <alignment horizontal="center"/>
    </xf>
    <xf numFmtId="0" fontId="6" fillId="0" borderId="12" xfId="22" applyFont="1" applyBorder="1" applyAlignment="1">
      <alignment horizontal="center" vertical="center" wrapText="1"/>
    </xf>
    <xf numFmtId="0" fontId="42" fillId="0" borderId="17" xfId="22" applyFont="1" applyBorder="1" applyAlignment="1">
      <alignment horizontal="center" vertical="center" wrapText="1"/>
    </xf>
    <xf numFmtId="0" fontId="42" fillId="0" borderId="9" xfId="22" applyFont="1" applyBorder="1" applyAlignment="1">
      <alignment horizontal="center" vertical="center" wrapText="1"/>
    </xf>
    <xf numFmtId="0" fontId="42" fillId="0" borderId="6" xfId="22" applyFont="1" applyBorder="1" applyAlignment="1">
      <alignment horizontal="center" vertical="center" wrapText="1"/>
    </xf>
    <xf numFmtId="0" fontId="42" fillId="0" borderId="0" xfId="22" applyFont="1" applyAlignment="1">
      <alignment horizontal="center" vertical="center" wrapText="1"/>
    </xf>
    <xf numFmtId="0" fontId="42" fillId="0" borderId="11" xfId="22" applyFont="1" applyBorder="1" applyAlignment="1">
      <alignment horizontal="center" vertical="center" wrapText="1"/>
    </xf>
    <xf numFmtId="0" fontId="7" fillId="0" borderId="6" xfId="22" applyFont="1" applyBorder="1" applyAlignment="1">
      <alignment horizontal="center" vertical="center" wrapText="1"/>
    </xf>
    <xf numFmtId="0" fontId="7" fillId="0" borderId="0" xfId="22" applyFont="1" applyAlignment="1">
      <alignment horizontal="center" vertical="center" wrapText="1"/>
    </xf>
    <xf numFmtId="0" fontId="7" fillId="0" borderId="11" xfId="22" applyFont="1" applyBorder="1" applyAlignment="1">
      <alignment horizontal="center" vertical="center" wrapText="1"/>
    </xf>
    <xf numFmtId="0" fontId="43" fillId="0" borderId="0" xfId="22" applyFont="1" applyAlignment="1">
      <alignment horizontal="center"/>
    </xf>
    <xf numFmtId="0" fontId="43" fillId="0" borderId="11" xfId="22" applyFont="1" applyBorder="1" applyAlignment="1">
      <alignment horizontal="center"/>
    </xf>
    <xf numFmtId="0" fontId="8" fillId="5" borderId="8" xfId="22" applyFont="1" applyFill="1" applyBorder="1" applyAlignment="1">
      <alignment horizontal="left" vertical="center" wrapText="1"/>
    </xf>
    <xf numFmtId="0" fontId="8" fillId="5" borderId="3" xfId="22" applyFont="1" applyFill="1" applyBorder="1" applyAlignment="1">
      <alignment horizontal="left" vertical="center" wrapText="1"/>
    </xf>
    <xf numFmtId="0" fontId="8" fillId="5" borderId="22" xfId="22" applyFont="1" applyFill="1" applyBorder="1" applyAlignment="1">
      <alignment horizontal="left" vertical="center" wrapText="1"/>
    </xf>
    <xf numFmtId="0" fontId="40" fillId="0" borderId="1" xfId="22" applyFont="1" applyBorder="1" applyAlignment="1">
      <alignment horizontal="center" vertical="center"/>
    </xf>
    <xf numFmtId="10" fontId="39" fillId="15" borderId="1" xfId="34" applyNumberFormat="1" applyFont="1" applyFill="1" applyBorder="1" applyAlignment="1">
      <alignment horizontal="center"/>
    </xf>
    <xf numFmtId="0" fontId="48" fillId="0" borderId="41" xfId="22" applyFont="1" applyBorder="1" applyAlignment="1">
      <alignment horizontal="right" vertical="top" wrapText="1"/>
    </xf>
    <xf numFmtId="0" fontId="48" fillId="0" borderId="42" xfId="22" applyFont="1" applyBorder="1" applyAlignment="1">
      <alignment horizontal="right" vertical="top" wrapText="1"/>
    </xf>
    <xf numFmtId="0" fontId="45" fillId="0" borderId="10" xfId="22" applyFont="1" applyBorder="1" applyAlignment="1">
      <alignment horizontal="right" vertical="top" wrapText="1"/>
    </xf>
    <xf numFmtId="0" fontId="9" fillId="0" borderId="20" xfId="22" applyBorder="1" applyAlignment="1">
      <alignment horizontal="right" vertical="top" wrapText="1"/>
    </xf>
    <xf numFmtId="0" fontId="9" fillId="0" borderId="18" xfId="22" applyBorder="1" applyAlignment="1">
      <alignment horizontal="right" vertical="top" wrapText="1"/>
    </xf>
    <xf numFmtId="0" fontId="48" fillId="0" borderId="10" xfId="22" applyFont="1" applyBorder="1" applyAlignment="1">
      <alignment horizontal="center" vertical="top" wrapText="1"/>
    </xf>
    <xf numFmtId="0" fontId="48" fillId="0" borderId="20" xfId="22" applyFont="1" applyBorder="1" applyAlignment="1">
      <alignment horizontal="center" vertical="top" wrapText="1"/>
    </xf>
    <xf numFmtId="0" fontId="48" fillId="0" borderId="18" xfId="22" applyFont="1" applyBorder="1" applyAlignment="1">
      <alignment horizontal="center" vertical="top" wrapText="1"/>
    </xf>
    <xf numFmtId="0" fontId="48" fillId="0" borderId="10" xfId="22" applyFont="1" applyBorder="1" applyAlignment="1">
      <alignment horizontal="left" vertical="top" wrapText="1" indent="11"/>
    </xf>
    <xf numFmtId="0" fontId="48" fillId="0" borderId="18" xfId="22" applyFont="1" applyBorder="1" applyAlignment="1">
      <alignment horizontal="left" vertical="top" wrapText="1" indent="11"/>
    </xf>
    <xf numFmtId="0" fontId="19" fillId="0" borderId="41" xfId="22" applyFont="1" applyBorder="1" applyAlignment="1">
      <alignment horizontal="right" vertical="top" wrapText="1"/>
    </xf>
    <xf numFmtId="0" fontId="19" fillId="0" borderId="42" xfId="22" applyFont="1" applyBorder="1" applyAlignment="1">
      <alignment horizontal="right" vertical="top" wrapText="1"/>
    </xf>
    <xf numFmtId="0" fontId="48" fillId="0" borderId="41" xfId="22" applyFont="1" applyBorder="1" applyAlignment="1">
      <alignment horizontal="center" vertical="top" wrapText="1"/>
    </xf>
    <xf numFmtId="0" fontId="48" fillId="0" borderId="42" xfId="22" applyFont="1" applyBorder="1" applyAlignment="1">
      <alignment horizontal="center" vertical="top" wrapText="1"/>
    </xf>
    <xf numFmtId="0" fontId="9" fillId="0" borderId="41" xfId="22" applyBorder="1" applyAlignment="1">
      <alignment horizontal="left" wrapText="1"/>
    </xf>
    <xf numFmtId="0" fontId="9" fillId="0" borderId="42" xfId="22" applyBorder="1" applyAlignment="1">
      <alignment horizontal="left" wrapText="1"/>
    </xf>
    <xf numFmtId="0" fontId="9" fillId="0" borderId="43" xfId="22" applyBorder="1" applyAlignment="1">
      <alignment horizontal="left" wrapText="1"/>
    </xf>
    <xf numFmtId="0" fontId="9" fillId="0" borderId="41" xfId="22" applyBorder="1" applyAlignment="1">
      <alignment horizontal="left" vertical="top" wrapText="1"/>
    </xf>
    <xf numFmtId="0" fontId="9" fillId="0" borderId="42" xfId="22" applyBorder="1" applyAlignment="1">
      <alignment horizontal="left" vertical="top" wrapText="1"/>
    </xf>
    <xf numFmtId="0" fontId="7" fillId="10" borderId="33" xfId="24" applyFont="1" applyFill="1" applyBorder="1" applyAlignment="1">
      <alignment horizontal="left" vertical="center" wrapText="1"/>
    </xf>
    <xf numFmtId="0" fontId="7" fillId="10" borderId="26" xfId="24" applyFont="1" applyFill="1" applyBorder="1" applyAlignment="1">
      <alignment horizontal="left" vertical="center" wrapText="1"/>
    </xf>
    <xf numFmtId="0" fontId="7" fillId="10" borderId="27" xfId="24" applyFont="1" applyFill="1" applyBorder="1" applyAlignment="1">
      <alignment horizontal="left" vertical="center" wrapText="1"/>
    </xf>
    <xf numFmtId="0" fontId="7" fillId="11" borderId="30" xfId="0" applyFont="1" applyFill="1" applyBorder="1" applyAlignment="1">
      <alignment horizontal="center" wrapText="1"/>
    </xf>
    <xf numFmtId="0" fontId="7" fillId="11" borderId="1" xfId="0" applyFont="1" applyFill="1" applyBorder="1" applyAlignment="1">
      <alignment horizontal="center" wrapText="1"/>
    </xf>
    <xf numFmtId="0" fontId="7" fillId="11" borderId="16" xfId="0" applyFont="1" applyFill="1" applyBorder="1" applyAlignment="1">
      <alignment horizontal="center" wrapText="1"/>
    </xf>
    <xf numFmtId="49" fontId="1" fillId="0" borderId="24" xfId="32" applyNumberFormat="1" applyFont="1" applyBorder="1" applyAlignment="1">
      <alignment horizontal="left" wrapText="1"/>
    </xf>
    <xf numFmtId="49" fontId="9" fillId="0" borderId="24" xfId="32" applyNumberFormat="1" applyFont="1" applyBorder="1" applyAlignment="1">
      <alignment horizontal="left" wrapText="1"/>
    </xf>
    <xf numFmtId="49" fontId="9" fillId="0" borderId="21" xfId="32" applyNumberFormat="1" applyFont="1" applyBorder="1" applyAlignment="1">
      <alignment horizontal="left" wrapText="1"/>
    </xf>
    <xf numFmtId="49" fontId="2" fillId="0" borderId="24" xfId="32" applyNumberFormat="1" applyFont="1" applyBorder="1" applyAlignment="1">
      <alignment horizontal="left" wrapText="1"/>
    </xf>
    <xf numFmtId="0" fontId="7" fillId="11" borderId="30" xfId="0" applyFont="1" applyFill="1" applyBorder="1" applyAlignment="1">
      <alignment horizontal="center"/>
    </xf>
    <xf numFmtId="0" fontId="7" fillId="11" borderId="1" xfId="0" applyFont="1" applyFill="1" applyBorder="1" applyAlignment="1">
      <alignment horizontal="center"/>
    </xf>
    <xf numFmtId="0" fontId="7" fillId="11" borderId="16" xfId="0" applyFont="1" applyFill="1" applyBorder="1" applyAlignment="1">
      <alignment horizontal="center"/>
    </xf>
    <xf numFmtId="49" fontId="1" fillId="0" borderId="24" xfId="32" applyNumberFormat="1" applyFont="1" applyBorder="1" applyAlignment="1">
      <alignment horizontal="left"/>
    </xf>
    <xf numFmtId="49" fontId="9" fillId="0" borderId="24" xfId="32" applyNumberFormat="1" applyFont="1" applyBorder="1" applyAlignment="1">
      <alignment horizontal="left"/>
    </xf>
    <xf numFmtId="49" fontId="9" fillId="0" borderId="21" xfId="32" applyNumberFormat="1" applyFont="1" applyBorder="1" applyAlignment="1">
      <alignment horizontal="left"/>
    </xf>
    <xf numFmtId="49" fontId="3" fillId="0" borderId="24" xfId="32" applyNumberFormat="1" applyFont="1" applyBorder="1" applyAlignment="1">
      <alignment horizontal="left"/>
    </xf>
    <xf numFmtId="49" fontId="4" fillId="0" borderId="24" xfId="32" applyNumberFormat="1" applyFont="1" applyBorder="1" applyAlignment="1">
      <alignment horizontal="left"/>
    </xf>
    <xf numFmtId="0" fontId="6" fillId="0" borderId="23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0" fontId="25" fillId="0" borderId="25" xfId="0" applyFont="1" applyBorder="1" applyAlignment="1">
      <alignment horizontal="center"/>
    </xf>
    <xf numFmtId="0" fontId="25" fillId="0" borderId="2" xfId="0" applyFont="1" applyBorder="1" applyAlignment="1">
      <alignment horizontal="center"/>
    </xf>
    <xf numFmtId="0" fontId="25" fillId="0" borderId="19" xfId="0" applyFont="1" applyBorder="1" applyAlignment="1">
      <alignment horizontal="center"/>
    </xf>
    <xf numFmtId="0" fontId="7" fillId="10" borderId="29" xfId="24" applyFont="1" applyFill="1" applyBorder="1" applyAlignment="1">
      <alignment horizontal="left" vertical="center" wrapText="1"/>
    </xf>
  </cellXfs>
  <cellStyles count="65">
    <cellStyle name="Cancel" xfId="1"/>
    <cellStyle name="Cancel 2" xfId="2"/>
    <cellStyle name="Excel Built-in Normal" xfId="3"/>
    <cellStyle name="Hiperlink 2" xfId="4"/>
    <cellStyle name="Hiperlink 3" xfId="5"/>
    <cellStyle name="Moeda 2" xfId="6"/>
    <cellStyle name="Moeda 2 2" xfId="7"/>
    <cellStyle name="Moeda 2 2 2" xfId="8"/>
    <cellStyle name="Moeda 2 3" xfId="9"/>
    <cellStyle name="Moeda 3" xfId="10"/>
    <cellStyle name="Moeda 3 2" xfId="11"/>
    <cellStyle name="Moeda 3 2 2" xfId="12"/>
    <cellStyle name="Moeda 3 2 3" xfId="13"/>
    <cellStyle name="Moeda 3 3" xfId="14"/>
    <cellStyle name="Moeda 4" xfId="15"/>
    <cellStyle name="Moeda 4 2" xfId="16"/>
    <cellStyle name="Moeda 5" xfId="17"/>
    <cellStyle name="Moeda 6" xfId="18"/>
    <cellStyle name="Moeda 7" xfId="19"/>
    <cellStyle name="Moeda 8" xfId="20"/>
    <cellStyle name="Normal" xfId="0" builtinId="0"/>
    <cellStyle name="Normal 2" xfId="21"/>
    <cellStyle name="Normal 2 2" xfId="22"/>
    <cellStyle name="Normal 2 2 2" xfId="23"/>
    <cellStyle name="Normal 2 2 2 2" xfId="24"/>
    <cellStyle name="Normal 2 2 3" xfId="25"/>
    <cellStyle name="Normal 2 3" xfId="26"/>
    <cellStyle name="Normal 2 4" xfId="27"/>
    <cellStyle name="Normal 2 5" xfId="28"/>
    <cellStyle name="Normal 3" xfId="29"/>
    <cellStyle name="Normal 3 2" xfId="30"/>
    <cellStyle name="Normal 4" xfId="31"/>
    <cellStyle name="Normal 5" xfId="32"/>
    <cellStyle name="Normal 6" xfId="33"/>
    <cellStyle name="Porcentagem" xfId="64" builtinId="5"/>
    <cellStyle name="Porcentagem 2" xfId="34"/>
    <cellStyle name="Porcentagem 2 2" xfId="35"/>
    <cellStyle name="Porcentagem 2 3" xfId="36"/>
    <cellStyle name="Porcentagem 2 4" xfId="37"/>
    <cellStyle name="Porcentagem 3" xfId="38"/>
    <cellStyle name="Porcentagem 3 2" xfId="39"/>
    <cellStyle name="Porcentagem 3 2 2" xfId="40"/>
    <cellStyle name="Porcentagem 3 3" xfId="41"/>
    <cellStyle name="Porcentagem 4" xfId="42"/>
    <cellStyle name="Porcentagem 5" xfId="43"/>
    <cellStyle name="Separador de milhares 2" xfId="45"/>
    <cellStyle name="Separador de milhares 2 2" xfId="46"/>
    <cellStyle name="Separador de milhares 2 3" xfId="47"/>
    <cellStyle name="Separador de milhares 2 4" xfId="48"/>
    <cellStyle name="Separador de milhares 3" xfId="49"/>
    <cellStyle name="Vírgula" xfId="44" builtinId="3"/>
    <cellStyle name="Vírgula 2" xfId="50"/>
    <cellStyle name="Vírgula 2 2" xfId="51"/>
    <cellStyle name="Vírgula 2 2 2" xfId="52"/>
    <cellStyle name="Vírgula 2 3" xfId="53"/>
    <cellStyle name="Vírgula 3" xfId="54"/>
    <cellStyle name="Vírgula 3 2" xfId="55"/>
    <cellStyle name="Vírgula 3 2 2" xfId="56"/>
    <cellStyle name="Vírgula 3 3" xfId="57"/>
    <cellStyle name="Vírgula 4" xfId="58"/>
    <cellStyle name="Vírgula 4 2" xfId="59"/>
    <cellStyle name="Vírgula 4 2 2" xfId="60"/>
    <cellStyle name="Vírgula 4 3" xfId="61"/>
    <cellStyle name="Vírgula 5" xfId="62"/>
    <cellStyle name="Vírgula 6" xfId="6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2</xdr:row>
      <xdr:rowOff>152400</xdr:rowOff>
    </xdr:from>
    <xdr:to>
      <xdr:col>2</xdr:col>
      <xdr:colOff>869798</xdr:colOff>
      <xdr:row>8</xdr:row>
      <xdr:rowOff>38100</xdr:rowOff>
    </xdr:to>
    <xdr:pic>
      <xdr:nvPicPr>
        <xdr:cNvPr id="24641" name="Picture 29" descr="Brasão">
          <a:extLst>
            <a:ext uri="{FF2B5EF4-FFF2-40B4-BE49-F238E27FC236}">
              <a16:creationId xmlns:a16="http://schemas.microsoft.com/office/drawing/2014/main" xmlns="" id="{00000000-0008-0000-0000-0000416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DFDFD"/>
            </a:clrFrom>
            <a:clrTo>
              <a:srgbClr val="FDFDFD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38126" y="285750"/>
          <a:ext cx="1355572" cy="1276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28575</xdr:rowOff>
    </xdr:from>
    <xdr:to>
      <xdr:col>2</xdr:col>
      <xdr:colOff>552450</xdr:colOff>
      <xdr:row>5</xdr:row>
      <xdr:rowOff>8844</xdr:rowOff>
    </xdr:to>
    <xdr:pic>
      <xdr:nvPicPr>
        <xdr:cNvPr id="2" name="Picture 29" descr="Brasão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DFDFD"/>
            </a:clrFrom>
            <a:clrTo>
              <a:srgbClr val="FDFDFD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0" y="76200"/>
          <a:ext cx="1152525" cy="10851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238125</xdr:rowOff>
    </xdr:from>
    <xdr:to>
      <xdr:col>1</xdr:col>
      <xdr:colOff>606767</xdr:colOff>
      <xdr:row>6</xdr:row>
      <xdr:rowOff>142875</xdr:rowOff>
    </xdr:to>
    <xdr:pic>
      <xdr:nvPicPr>
        <xdr:cNvPr id="2" name="Picture 29" descr="Brasão">
          <a:extLst>
            <a:ext uri="{FF2B5EF4-FFF2-40B4-BE49-F238E27FC236}">
              <a16:creationId xmlns:a16="http://schemas.microsoft.com/office/drawing/2014/main" xmlns="" id="{CEC5BA4B-D89A-47AE-9B56-4B62B9AEBB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DFDFD"/>
            </a:clrFrom>
            <a:clrTo>
              <a:srgbClr val="FDFDFD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0" y="466725"/>
          <a:ext cx="1121117" cy="1076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65118</xdr:colOff>
      <xdr:row>0</xdr:row>
      <xdr:rowOff>28575</xdr:rowOff>
    </xdr:from>
    <xdr:to>
      <xdr:col>0</xdr:col>
      <xdr:colOff>1219200</xdr:colOff>
      <xdr:row>0</xdr:row>
      <xdr:rowOff>1220770</xdr:rowOff>
    </xdr:to>
    <xdr:pic>
      <xdr:nvPicPr>
        <xdr:cNvPr id="2" name="image1.jpeg">
          <a:extLst>
            <a:ext uri="{FF2B5EF4-FFF2-40B4-BE49-F238E27FC236}">
              <a16:creationId xmlns:a16="http://schemas.microsoft.com/office/drawing/2014/main" xmlns="" id="{3D3C8960-472B-4ADD-AEE4-F096F3E701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118" y="28575"/>
          <a:ext cx="1154082" cy="1192195"/>
        </a:xfrm>
        <a:prstGeom prst="rect">
          <a:avLst/>
        </a:prstGeom>
      </xdr:spPr>
    </xdr:pic>
    <xdr:clientData/>
  </xdr:twoCellAnchor>
  <xdr:twoCellAnchor editAs="oneCell">
    <xdr:from>
      <xdr:col>0</xdr:col>
      <xdr:colOff>1013858</xdr:colOff>
      <xdr:row>20</xdr:row>
      <xdr:rowOff>143715</xdr:rowOff>
    </xdr:from>
    <xdr:to>
      <xdr:col>0</xdr:col>
      <xdr:colOff>1016678</xdr:colOff>
      <xdr:row>20</xdr:row>
      <xdr:rowOff>424893</xdr:rowOff>
    </xdr:to>
    <xdr:pic>
      <xdr:nvPicPr>
        <xdr:cNvPr id="3" name="image2.jpeg">
          <a:extLst>
            <a:ext uri="{FF2B5EF4-FFF2-40B4-BE49-F238E27FC236}">
              <a16:creationId xmlns:a16="http://schemas.microsoft.com/office/drawing/2014/main" xmlns="" id="{7689771C-C5A3-4D1F-BE25-CC506C45D5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3858" y="4239465"/>
          <a:ext cx="2820" cy="28117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13</xdr:row>
      <xdr:rowOff>0</xdr:rowOff>
    </xdr:from>
    <xdr:to>
      <xdr:col>3</xdr:col>
      <xdr:colOff>152400</xdr:colOff>
      <xdr:row>13</xdr:row>
      <xdr:rowOff>152400</xdr:rowOff>
    </xdr:to>
    <xdr:sp macro="" textlink="">
      <xdr:nvSpPr>
        <xdr:cNvPr id="2" name="AutoShape 15" descr="http://187.17.2.135/orse/imagens/insumo.gif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628775" y="12334875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152400</xdr:colOff>
      <xdr:row>13</xdr:row>
      <xdr:rowOff>152400</xdr:rowOff>
    </xdr:to>
    <xdr:sp macro="" textlink="">
      <xdr:nvSpPr>
        <xdr:cNvPr id="3" name="AutoShape 15" descr="http://187.17.2.135/orse/imagens/insumo.gif">
          <a:extLst>
            <a:ext uri="{FF2B5EF4-FFF2-40B4-BE49-F238E27FC236}">
              <a16:creationId xmlns:a16="http://schemas.microsoft.com/office/drawing/2014/main" xmlns="" id="{00000000-0008-0000-04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1628775" y="14182725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152400</xdr:colOff>
      <xdr:row>13</xdr:row>
      <xdr:rowOff>152400</xdr:rowOff>
    </xdr:to>
    <xdr:sp macro="" textlink="">
      <xdr:nvSpPr>
        <xdr:cNvPr id="4" name="AutoShape 15" descr="http://187.17.2.135/orse/imagens/insumo.gif">
          <a:extLst>
            <a:ext uri="{FF2B5EF4-FFF2-40B4-BE49-F238E27FC236}">
              <a16:creationId xmlns:a16="http://schemas.microsoft.com/office/drawing/2014/main" xmlns="" id="{00000000-0008-0000-04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1628775" y="23183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152400</xdr:colOff>
      <xdr:row>13</xdr:row>
      <xdr:rowOff>152400</xdr:rowOff>
    </xdr:to>
    <xdr:sp macro="" textlink="">
      <xdr:nvSpPr>
        <xdr:cNvPr id="5" name="AutoShape 15" descr="http://187.17.2.135/orse/imagens/insumo.gif">
          <a:extLst>
            <a:ext uri="{FF2B5EF4-FFF2-40B4-BE49-F238E27FC236}">
              <a16:creationId xmlns:a16="http://schemas.microsoft.com/office/drawing/2014/main" xmlns="" id="{00000000-0008-0000-04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1628775" y="2503170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1"/>
  <dimension ref="B1:Q108"/>
  <sheetViews>
    <sheetView tabSelected="1" view="pageBreakPreview" topLeftCell="A85" zoomScaleNormal="85" zoomScaleSheetLayoutView="100" workbookViewId="0">
      <selection activeCell="B98" sqref="B98:I98"/>
    </sheetView>
  </sheetViews>
  <sheetFormatPr defaultRowHeight="12.75"/>
  <cols>
    <col min="1" max="1" width="3.5703125" customWidth="1"/>
    <col min="2" max="2" width="7.28515625" customWidth="1"/>
    <col min="3" max="3" width="63" customWidth="1"/>
    <col min="4" max="4" width="5" style="3" customWidth="1"/>
    <col min="5" max="5" width="12.85546875" style="4" customWidth="1"/>
    <col min="6" max="6" width="8.140625" style="4" bestFit="1" customWidth="1"/>
    <col min="7" max="7" width="10" style="5" customWidth="1"/>
    <col min="8" max="8" width="10.85546875" customWidth="1"/>
    <col min="9" max="9" width="11" bestFit="1" customWidth="1"/>
    <col min="10" max="10" width="8.28515625" hidden="1" customWidth="1"/>
    <col min="11" max="11" width="12.140625" hidden="1" customWidth="1"/>
    <col min="12" max="12" width="12.140625" customWidth="1"/>
    <col min="13" max="13" width="12.5703125" customWidth="1"/>
    <col min="14" max="14" width="10.140625" style="8" bestFit="1" customWidth="1"/>
    <col min="15" max="15" width="11.5703125" bestFit="1" customWidth="1"/>
  </cols>
  <sheetData>
    <row r="1" spans="2:17" ht="5.25" customHeight="1"/>
    <row r="2" spans="2:17" s="1" customFormat="1" ht="5.25" customHeight="1">
      <c r="B2" s="322"/>
      <c r="C2" s="323"/>
      <c r="D2" s="323"/>
      <c r="E2" s="323"/>
      <c r="F2" s="323"/>
      <c r="G2" s="323"/>
      <c r="H2" s="323"/>
      <c r="I2" s="324"/>
      <c r="J2" s="75"/>
      <c r="K2" s="75"/>
      <c r="L2" s="53"/>
      <c r="N2" s="6"/>
    </row>
    <row r="3" spans="2:17" s="1" customFormat="1" ht="20.25" customHeight="1">
      <c r="B3" s="314" t="s">
        <v>42</v>
      </c>
      <c r="C3" s="315"/>
      <c r="D3" s="315"/>
      <c r="E3" s="315"/>
      <c r="F3" s="315"/>
      <c r="G3" s="315"/>
      <c r="H3" s="315"/>
      <c r="I3" s="316"/>
      <c r="J3" s="72"/>
      <c r="K3" s="72"/>
      <c r="L3" s="63"/>
      <c r="N3" s="6"/>
    </row>
    <row r="4" spans="2:17" s="1" customFormat="1" ht="2.25" customHeight="1">
      <c r="B4" s="98"/>
      <c r="C4" s="72"/>
      <c r="D4" s="72"/>
      <c r="E4" s="72"/>
      <c r="F4" s="72"/>
      <c r="G4" s="72"/>
      <c r="H4" s="72"/>
      <c r="I4" s="99"/>
      <c r="J4" s="72"/>
      <c r="K4" s="72"/>
      <c r="L4" s="63"/>
      <c r="N4" s="6"/>
    </row>
    <row r="5" spans="2:17" s="1" customFormat="1" ht="15" customHeight="1">
      <c r="B5" s="317" t="s">
        <v>393</v>
      </c>
      <c r="C5" s="318"/>
      <c r="D5" s="318"/>
      <c r="E5" s="318"/>
      <c r="F5" s="318"/>
      <c r="G5" s="318"/>
      <c r="H5" s="318"/>
      <c r="I5" s="337"/>
      <c r="J5" s="73"/>
      <c r="K5" s="73"/>
      <c r="L5" s="63"/>
      <c r="N5" s="6"/>
    </row>
    <row r="6" spans="2:17" s="1" customFormat="1" ht="42" customHeight="1">
      <c r="B6" s="317" t="s">
        <v>87</v>
      </c>
      <c r="C6" s="318"/>
      <c r="D6" s="318"/>
      <c r="E6" s="318"/>
      <c r="F6" s="318"/>
      <c r="G6" s="318"/>
      <c r="H6" s="318"/>
      <c r="I6" s="337"/>
      <c r="J6" s="74"/>
      <c r="K6" s="74"/>
      <c r="L6" s="9"/>
      <c r="N6" s="6"/>
    </row>
    <row r="7" spans="2:17" s="1" customFormat="1" ht="17.25" customHeight="1">
      <c r="B7" s="317" t="s">
        <v>86</v>
      </c>
      <c r="C7" s="318"/>
      <c r="D7" s="318"/>
      <c r="E7" s="318"/>
      <c r="F7" s="318"/>
      <c r="G7" s="318"/>
      <c r="H7" s="319" t="s">
        <v>41</v>
      </c>
      <c r="I7" s="320"/>
      <c r="J7" s="294" t="s">
        <v>41</v>
      </c>
      <c r="K7" s="294"/>
      <c r="L7" s="63"/>
      <c r="N7" s="6"/>
    </row>
    <row r="8" spans="2:17" s="1" customFormat="1" ht="12.75" customHeight="1">
      <c r="B8" s="298" t="s">
        <v>89</v>
      </c>
      <c r="C8" s="299"/>
      <c r="D8" s="299"/>
      <c r="E8" s="299"/>
      <c r="F8" s="299"/>
      <c r="G8" s="299"/>
      <c r="H8" s="299"/>
      <c r="I8" s="300"/>
      <c r="J8" s="294" t="s">
        <v>41</v>
      </c>
      <c r="K8" s="294"/>
      <c r="L8" s="63"/>
      <c r="N8" s="6"/>
    </row>
    <row r="9" spans="2:17" s="1" customFormat="1" ht="5.25" customHeight="1">
      <c r="B9" s="295"/>
      <c r="C9" s="296"/>
      <c r="D9" s="296"/>
      <c r="E9" s="296"/>
      <c r="F9" s="296"/>
      <c r="G9" s="296"/>
      <c r="H9" s="296"/>
      <c r="I9" s="297"/>
      <c r="J9" s="62"/>
      <c r="K9" s="52"/>
      <c r="L9" s="52"/>
      <c r="N9" s="6"/>
    </row>
    <row r="10" spans="2:17" s="1" customFormat="1" ht="15" customHeight="1">
      <c r="B10" s="302" t="s">
        <v>298</v>
      </c>
      <c r="C10" s="303"/>
      <c r="D10" s="303"/>
      <c r="E10" s="303"/>
      <c r="F10" s="303"/>
      <c r="G10" s="303"/>
      <c r="H10" s="304" t="s">
        <v>299</v>
      </c>
      <c r="I10" s="305"/>
      <c r="J10" s="301" t="s">
        <v>29</v>
      </c>
      <c r="K10" s="301"/>
      <c r="L10" s="54"/>
      <c r="N10" s="6"/>
    </row>
    <row r="11" spans="2:17" s="1" customFormat="1" ht="1.5" customHeight="1">
      <c r="B11" s="325"/>
      <c r="C11" s="326"/>
      <c r="D11" s="326"/>
      <c r="E11" s="326"/>
      <c r="F11" s="326"/>
      <c r="G11" s="327"/>
      <c r="H11" s="327"/>
      <c r="I11" s="328"/>
      <c r="J11" s="63"/>
      <c r="K11" s="63"/>
      <c r="L11" s="63"/>
      <c r="N11" s="6"/>
    </row>
    <row r="12" spans="2:17" s="1" customFormat="1">
      <c r="B12" s="306" t="s">
        <v>0</v>
      </c>
      <c r="C12" s="311" t="s">
        <v>1</v>
      </c>
      <c r="D12" s="311" t="s">
        <v>2</v>
      </c>
      <c r="E12" s="306" t="s">
        <v>30</v>
      </c>
      <c r="F12" s="321" t="s">
        <v>24</v>
      </c>
      <c r="G12" s="331" t="s">
        <v>23</v>
      </c>
      <c r="H12" s="332"/>
      <c r="I12" s="333"/>
      <c r="J12" s="310">
        <v>42933</v>
      </c>
      <c r="K12" s="310"/>
      <c r="L12" s="206"/>
      <c r="N12" s="6"/>
    </row>
    <row r="13" spans="2:17" s="1" customFormat="1" ht="15" customHeight="1">
      <c r="B13" s="329"/>
      <c r="C13" s="311"/>
      <c r="D13" s="311"/>
      <c r="E13" s="307"/>
      <c r="F13" s="321"/>
      <c r="G13" s="334"/>
      <c r="H13" s="335"/>
      <c r="I13" s="336"/>
      <c r="J13" s="312" t="s">
        <v>153</v>
      </c>
      <c r="K13" s="312"/>
      <c r="L13" s="207"/>
      <c r="N13" s="6"/>
    </row>
    <row r="14" spans="2:17" s="2" customFormat="1" ht="12.75" customHeight="1">
      <c r="B14" s="330"/>
      <c r="C14" s="311"/>
      <c r="D14" s="311"/>
      <c r="E14" s="308"/>
      <c r="F14" s="321"/>
      <c r="G14" s="157" t="s">
        <v>3</v>
      </c>
      <c r="H14" s="157" t="s">
        <v>20</v>
      </c>
      <c r="I14" s="157" t="s">
        <v>21</v>
      </c>
      <c r="J14" s="208" t="s">
        <v>8</v>
      </c>
      <c r="K14" s="158" t="s">
        <v>26</v>
      </c>
      <c r="L14" s="207"/>
      <c r="M14" s="7"/>
      <c r="N14" s="7"/>
    </row>
    <row r="15" spans="2:17" s="1" customFormat="1" ht="14.25">
      <c r="B15" s="159">
        <v>1</v>
      </c>
      <c r="C15" s="160" t="s">
        <v>44</v>
      </c>
      <c r="D15" s="161"/>
      <c r="E15" s="162"/>
      <c r="F15" s="163"/>
      <c r="G15" s="164"/>
      <c r="H15" s="165">
        <v>0.27629999999999999</v>
      </c>
      <c r="I15" s="166"/>
      <c r="J15" s="313" t="s">
        <v>27</v>
      </c>
      <c r="K15" s="313"/>
      <c r="L15" s="167"/>
      <c r="N15" s="309"/>
      <c r="O15" s="309"/>
      <c r="P15" s="309"/>
      <c r="Q15" s="57"/>
    </row>
    <row r="16" spans="2:17" s="2" customFormat="1" ht="25.5">
      <c r="B16" s="174" t="s">
        <v>47</v>
      </c>
      <c r="C16" s="174" t="s">
        <v>45</v>
      </c>
      <c r="D16" s="183" t="s">
        <v>40</v>
      </c>
      <c r="E16" s="184" t="s">
        <v>37</v>
      </c>
      <c r="F16" s="185">
        <v>1</v>
      </c>
      <c r="G16" s="176">
        <v>5481.2</v>
      </c>
      <c r="H16" s="186">
        <f>TRUNC(G16*$H$15+G16,2)</f>
        <v>6995.65</v>
      </c>
      <c r="I16" s="186">
        <f>TRUNC(H16*F16,2)</f>
        <v>6995.65</v>
      </c>
      <c r="J16" s="168">
        <v>0</v>
      </c>
      <c r="K16" s="169" t="e">
        <f>(J16*#REF!)</f>
        <v>#REF!</v>
      </c>
      <c r="L16" s="170">
        <f t="shared" ref="L16:L63" si="0">I16/$I$97</f>
        <v>1.7451691122542141E-2</v>
      </c>
      <c r="N16" s="309"/>
      <c r="O16" s="309"/>
      <c r="P16" s="309"/>
      <c r="Q16" s="57"/>
    </row>
    <row r="17" spans="2:17" s="2" customFormat="1">
      <c r="B17" s="278" t="s">
        <v>5</v>
      </c>
      <c r="C17" s="279"/>
      <c r="D17" s="279"/>
      <c r="E17" s="279"/>
      <c r="F17" s="279"/>
      <c r="G17" s="286">
        <f>(100%)</f>
        <v>1</v>
      </c>
      <c r="H17" s="287"/>
      <c r="I17" s="171">
        <f>SUM(I16)</f>
        <v>6995.65</v>
      </c>
      <c r="J17" s="172" t="e">
        <f>(K17/#REF!)</f>
        <v>#REF!</v>
      </c>
      <c r="K17" s="173" t="e">
        <f>SUM(K15:K16)</f>
        <v>#REF!</v>
      </c>
      <c r="L17" s="170">
        <f t="shared" si="0"/>
        <v>1.7451691122542141E-2</v>
      </c>
      <c r="N17" s="7"/>
    </row>
    <row r="18" spans="2:17" s="64" customFormat="1" ht="14.25">
      <c r="B18" s="159">
        <v>2</v>
      </c>
      <c r="C18" s="160" t="s">
        <v>4</v>
      </c>
      <c r="D18" s="161"/>
      <c r="E18" s="162"/>
      <c r="F18" s="163"/>
      <c r="G18" s="164"/>
      <c r="H18" s="166"/>
      <c r="I18" s="166"/>
      <c r="J18" s="293" t="s">
        <v>27</v>
      </c>
      <c r="K18" s="293"/>
      <c r="L18" s="170">
        <f t="shared" si="0"/>
        <v>0</v>
      </c>
      <c r="N18" s="285"/>
      <c r="O18" s="285"/>
      <c r="P18" s="285"/>
      <c r="Q18" s="65"/>
    </row>
    <row r="19" spans="2:17" s="66" customFormat="1" ht="14.25">
      <c r="B19" s="174" t="s">
        <v>48</v>
      </c>
      <c r="C19" s="174" t="s">
        <v>19</v>
      </c>
      <c r="D19" s="175" t="s">
        <v>32</v>
      </c>
      <c r="E19" s="162" t="s">
        <v>35</v>
      </c>
      <c r="F19" s="176">
        <v>3.12</v>
      </c>
      <c r="G19" s="176">
        <v>375.8</v>
      </c>
      <c r="H19" s="177">
        <f>TRUNC(G19*$H$15+G19,2)</f>
        <v>479.63</v>
      </c>
      <c r="I19" s="177">
        <f>TRUNC(H19*F19,2)</f>
        <v>1496.44</v>
      </c>
      <c r="J19" s="178">
        <v>0</v>
      </c>
      <c r="K19" s="179" t="e">
        <f>(J19*#REF!)</f>
        <v>#REF!</v>
      </c>
      <c r="L19" s="170">
        <f t="shared" si="0"/>
        <v>3.7330925165519951E-3</v>
      </c>
      <c r="N19" s="285"/>
      <c r="O19" s="285"/>
      <c r="P19" s="285"/>
      <c r="Q19" s="67"/>
    </row>
    <row r="20" spans="2:17" s="66" customFormat="1" ht="25.5">
      <c r="B20" s="174" t="s">
        <v>49</v>
      </c>
      <c r="C20" s="180" t="s">
        <v>93</v>
      </c>
      <c r="D20" s="175" t="s">
        <v>32</v>
      </c>
      <c r="E20" s="162" t="s">
        <v>94</v>
      </c>
      <c r="F20" s="176">
        <v>682.88</v>
      </c>
      <c r="G20" s="176">
        <v>50.5</v>
      </c>
      <c r="H20" s="177">
        <f>TRUNC(G20*$H$15+G20,2)</f>
        <v>64.45</v>
      </c>
      <c r="I20" s="177">
        <f>TRUNC(H20*F20,2)</f>
        <v>44011.61</v>
      </c>
      <c r="J20" s="178"/>
      <c r="K20" s="179"/>
      <c r="L20" s="170">
        <f t="shared" si="0"/>
        <v>0.10979351790409568</v>
      </c>
      <c r="N20" s="131"/>
      <c r="O20" s="131"/>
      <c r="P20" s="131"/>
      <c r="Q20" s="67"/>
    </row>
    <row r="21" spans="2:17" s="66" customFormat="1" ht="25.5">
      <c r="B21" s="174" t="s">
        <v>50</v>
      </c>
      <c r="C21" s="180" t="s">
        <v>36</v>
      </c>
      <c r="D21" s="175" t="s">
        <v>32</v>
      </c>
      <c r="E21" s="181">
        <v>93584</v>
      </c>
      <c r="F21" s="176">
        <v>6</v>
      </c>
      <c r="G21" s="176">
        <v>556.23</v>
      </c>
      <c r="H21" s="177">
        <f>TRUNC(G21*$H$15+G21,2)</f>
        <v>709.91</v>
      </c>
      <c r="I21" s="177">
        <f>TRUNC(H21*F21,2)</f>
        <v>4259.46</v>
      </c>
      <c r="J21" s="178">
        <v>1</v>
      </c>
      <c r="K21" s="179" t="e">
        <f>(J21*#REF!)</f>
        <v>#REF!</v>
      </c>
      <c r="L21" s="170">
        <f t="shared" si="0"/>
        <v>1.0625857535586165E-2</v>
      </c>
      <c r="N21" s="68"/>
    </row>
    <row r="22" spans="2:17" s="2" customFormat="1" ht="15.75" customHeight="1">
      <c r="B22" s="278" t="s">
        <v>5</v>
      </c>
      <c r="C22" s="279"/>
      <c r="D22" s="279"/>
      <c r="E22" s="279"/>
      <c r="F22" s="279"/>
      <c r="G22" s="286">
        <f>(100%)</f>
        <v>1</v>
      </c>
      <c r="H22" s="287"/>
      <c r="I22" s="171">
        <f>SUM(I19:I21)</f>
        <v>49767.51</v>
      </c>
      <c r="J22" s="172" t="e">
        <f>(K22/#REF!)</f>
        <v>#REF!</v>
      </c>
      <c r="K22" s="173" t="e">
        <f>SUM(K19:K21)</f>
        <v>#REF!</v>
      </c>
      <c r="L22" s="170">
        <f t="shared" si="0"/>
        <v>0.12415246795623384</v>
      </c>
      <c r="N22" s="7"/>
    </row>
    <row r="23" spans="2:17" s="66" customFormat="1">
      <c r="B23" s="159">
        <v>3</v>
      </c>
      <c r="C23" s="160" t="s">
        <v>101</v>
      </c>
      <c r="D23" s="288"/>
      <c r="E23" s="288"/>
      <c r="F23" s="288"/>
      <c r="G23" s="288"/>
      <c r="H23" s="288"/>
      <c r="I23" s="289"/>
      <c r="J23" s="182"/>
      <c r="K23" s="182"/>
      <c r="L23" s="170">
        <f t="shared" si="0"/>
        <v>0</v>
      </c>
      <c r="N23" s="68"/>
    </row>
    <row r="24" spans="2:17" s="66" customFormat="1" ht="25.5">
      <c r="B24" s="211" t="s">
        <v>46</v>
      </c>
      <c r="C24" s="212" t="s">
        <v>121</v>
      </c>
      <c r="D24" s="213" t="s">
        <v>33</v>
      </c>
      <c r="E24" s="214" t="s">
        <v>124</v>
      </c>
      <c r="F24" s="217">
        <v>35.24</v>
      </c>
      <c r="G24" s="240">
        <v>273.58999999999997</v>
      </c>
      <c r="H24" s="215">
        <f>TRUNC((G24*$H$15)+G24,2)</f>
        <v>349.18</v>
      </c>
      <c r="I24" s="215">
        <f>TRUNC(H24*F24,2)</f>
        <v>12305.1</v>
      </c>
      <c r="J24" s="178">
        <v>0</v>
      </c>
      <c r="K24" s="179" t="e">
        <f>(J24*#REF!)</f>
        <v>#REF!</v>
      </c>
      <c r="L24" s="170">
        <f t="shared" si="0"/>
        <v>3.0696905138477958E-2</v>
      </c>
      <c r="N24" s="68"/>
    </row>
    <row r="25" spans="2:17" s="66" customFormat="1" ht="25.5">
      <c r="B25" s="174" t="s">
        <v>51</v>
      </c>
      <c r="C25" s="216" t="s">
        <v>145</v>
      </c>
      <c r="D25" s="183" t="s">
        <v>33</v>
      </c>
      <c r="E25" s="184">
        <v>72898</v>
      </c>
      <c r="F25" s="217">
        <v>35.24</v>
      </c>
      <c r="G25" s="176">
        <v>3.87</v>
      </c>
      <c r="H25" s="215">
        <f>TRUNC((G25*$H$15)+G25,2)</f>
        <v>4.93</v>
      </c>
      <c r="I25" s="215">
        <f>TRUNC(H25*F25,2)</f>
        <v>173.73</v>
      </c>
      <c r="J25" s="178"/>
      <c r="K25" s="179"/>
      <c r="L25" s="170">
        <f t="shared" si="0"/>
        <v>4.3339536693791803E-4</v>
      </c>
      <c r="N25" s="68"/>
    </row>
    <row r="26" spans="2:17" s="66" customFormat="1" ht="25.5">
      <c r="B26" s="174" t="s">
        <v>52</v>
      </c>
      <c r="C26" s="216" t="s">
        <v>146</v>
      </c>
      <c r="D26" s="183" t="s">
        <v>33</v>
      </c>
      <c r="E26" s="184">
        <v>72900</v>
      </c>
      <c r="F26" s="217">
        <v>35.24</v>
      </c>
      <c r="G26" s="176">
        <v>6.22</v>
      </c>
      <c r="H26" s="186">
        <f>TRUNC((G26*$H$15)+G26,2)</f>
        <v>7.93</v>
      </c>
      <c r="I26" s="186">
        <f>TRUNC(H26*F26,2)</f>
        <v>279.45</v>
      </c>
      <c r="J26" s="178"/>
      <c r="K26" s="179"/>
      <c r="L26" s="170">
        <f t="shared" si="0"/>
        <v>6.9712965688597931E-4</v>
      </c>
      <c r="N26" s="68"/>
    </row>
    <row r="27" spans="2:17" s="66" customFormat="1" ht="25.5">
      <c r="B27" s="174" t="s">
        <v>213</v>
      </c>
      <c r="C27" s="216" t="s">
        <v>55</v>
      </c>
      <c r="D27" s="183" t="s">
        <v>33</v>
      </c>
      <c r="E27" s="184">
        <v>93358</v>
      </c>
      <c r="F27" s="217">
        <v>9.6999999999999993</v>
      </c>
      <c r="G27" s="176">
        <v>58.19</v>
      </c>
      <c r="H27" s="186">
        <f>TRUNC((G27*$H$15)+G27,2)</f>
        <v>74.260000000000005</v>
      </c>
      <c r="I27" s="186">
        <f>TRUNC(H27*F27,2)</f>
        <v>720.32</v>
      </c>
      <c r="J27" s="178"/>
      <c r="K27" s="179"/>
      <c r="L27" s="170">
        <f t="shared" si="0"/>
        <v>1.7969455517914069E-3</v>
      </c>
      <c r="N27" s="68"/>
    </row>
    <row r="28" spans="2:17" s="2" customFormat="1" ht="15.75" customHeight="1">
      <c r="B28" s="278" t="s">
        <v>5</v>
      </c>
      <c r="C28" s="279"/>
      <c r="D28" s="279"/>
      <c r="E28" s="279"/>
      <c r="F28" s="279"/>
      <c r="G28" s="286">
        <f>(100%)</f>
        <v>1</v>
      </c>
      <c r="H28" s="287"/>
      <c r="I28" s="171">
        <f>SUM(I24:I27)</f>
        <v>13478.6</v>
      </c>
      <c r="J28" s="172">
        <v>0</v>
      </c>
      <c r="K28" s="173" t="e">
        <f>SUM(K23:K24)</f>
        <v>#REF!</v>
      </c>
      <c r="L28" s="170">
        <f t="shared" si="0"/>
        <v>3.3624375714093262E-2</v>
      </c>
      <c r="N28" s="7"/>
    </row>
    <row r="29" spans="2:17" s="2" customFormat="1" ht="15.75" customHeight="1">
      <c r="B29" s="191">
        <v>4</v>
      </c>
      <c r="C29" s="160" t="s">
        <v>226</v>
      </c>
      <c r="D29" s="290"/>
      <c r="E29" s="291"/>
      <c r="F29" s="291"/>
      <c r="G29" s="291"/>
      <c r="H29" s="291"/>
      <c r="I29" s="292"/>
      <c r="J29" s="172"/>
      <c r="K29" s="173"/>
      <c r="L29" s="170">
        <f t="shared" si="0"/>
        <v>0</v>
      </c>
      <c r="N29" s="7"/>
    </row>
    <row r="30" spans="2:17" s="2" customFormat="1" ht="25.5">
      <c r="B30" s="195" t="s">
        <v>171</v>
      </c>
      <c r="C30" s="230" t="s">
        <v>227</v>
      </c>
      <c r="D30" s="231" t="s">
        <v>33</v>
      </c>
      <c r="E30" s="175">
        <v>94962</v>
      </c>
      <c r="F30" s="176">
        <v>0.3</v>
      </c>
      <c r="G30" s="196">
        <v>244.24</v>
      </c>
      <c r="H30" s="177">
        <f>TRUNC(G30*(1+$H$15),2)</f>
        <v>311.72000000000003</v>
      </c>
      <c r="I30" s="177">
        <f t="shared" ref="I30:I34" si="1">TRUNC(H30*F30,2)</f>
        <v>93.51</v>
      </c>
      <c r="J30" s="172"/>
      <c r="K30" s="173"/>
      <c r="L30" s="170">
        <f t="shared" si="0"/>
        <v>2.3327462592738569E-4</v>
      </c>
      <c r="N30" s="7"/>
    </row>
    <row r="31" spans="2:17" s="2" customFormat="1" ht="25.5">
      <c r="B31" s="195" t="s">
        <v>172</v>
      </c>
      <c r="C31" s="190" t="s">
        <v>228</v>
      </c>
      <c r="D31" s="231" t="s">
        <v>33</v>
      </c>
      <c r="E31" s="175">
        <v>94965</v>
      </c>
      <c r="F31" s="176">
        <v>2.2000000000000002</v>
      </c>
      <c r="G31" s="196">
        <v>308.95999999999998</v>
      </c>
      <c r="H31" s="177">
        <f t="shared" ref="H31:H34" si="2">TRUNC(G31*(1+$H$15),2)</f>
        <v>394.32</v>
      </c>
      <c r="I31" s="177">
        <f t="shared" si="1"/>
        <v>867.5</v>
      </c>
      <c r="J31" s="172"/>
      <c r="K31" s="173"/>
      <c r="L31" s="170">
        <f t="shared" si="0"/>
        <v>2.1641079883649565E-3</v>
      </c>
      <c r="N31" s="7"/>
    </row>
    <row r="32" spans="2:17" s="2" customFormat="1" ht="15.75" customHeight="1">
      <c r="B32" s="195" t="s">
        <v>176</v>
      </c>
      <c r="C32" s="190" t="s">
        <v>229</v>
      </c>
      <c r="D32" s="231" t="s">
        <v>33</v>
      </c>
      <c r="E32" s="175" t="s">
        <v>230</v>
      </c>
      <c r="F32" s="176">
        <f>F31</f>
        <v>2.2000000000000002</v>
      </c>
      <c r="G32" s="196">
        <v>96.58</v>
      </c>
      <c r="H32" s="177">
        <f t="shared" si="2"/>
        <v>123.26</v>
      </c>
      <c r="I32" s="177">
        <f t="shared" si="1"/>
        <v>271.17</v>
      </c>
      <c r="J32" s="172"/>
      <c r="K32" s="173"/>
      <c r="L32" s="170">
        <f t="shared" si="0"/>
        <v>6.7647396334861705E-4</v>
      </c>
      <c r="N32" s="7"/>
    </row>
    <row r="33" spans="2:14" s="2" customFormat="1" ht="51">
      <c r="B33" s="195" t="s">
        <v>186</v>
      </c>
      <c r="C33" s="190" t="s">
        <v>231</v>
      </c>
      <c r="D33" s="231" t="s">
        <v>32</v>
      </c>
      <c r="E33" s="175">
        <v>92422</v>
      </c>
      <c r="F33" s="176">
        <v>18.5</v>
      </c>
      <c r="G33" s="196">
        <v>50.01</v>
      </c>
      <c r="H33" s="177">
        <f t="shared" si="2"/>
        <v>63.82</v>
      </c>
      <c r="I33" s="177">
        <f t="shared" si="1"/>
        <v>1180.67</v>
      </c>
      <c r="J33" s="172"/>
      <c r="K33" s="173"/>
      <c r="L33" s="170">
        <f t="shared" si="0"/>
        <v>2.9453572087871508E-3</v>
      </c>
      <c r="N33" s="7"/>
    </row>
    <row r="34" spans="2:14" s="2" customFormat="1" ht="25.5">
      <c r="B34" s="195" t="s">
        <v>244</v>
      </c>
      <c r="C34" s="190" t="s">
        <v>232</v>
      </c>
      <c r="D34" s="231" t="s">
        <v>38</v>
      </c>
      <c r="E34" s="175">
        <v>96543</v>
      </c>
      <c r="F34" s="176">
        <v>28.5</v>
      </c>
      <c r="G34" s="196">
        <v>11.74</v>
      </c>
      <c r="H34" s="177">
        <f t="shared" si="2"/>
        <v>14.98</v>
      </c>
      <c r="I34" s="177">
        <f t="shared" si="1"/>
        <v>426.93</v>
      </c>
      <c r="J34" s="172"/>
      <c r="K34" s="173"/>
      <c r="L34" s="170">
        <f t="shared" si="0"/>
        <v>1.0650404881529117E-3</v>
      </c>
      <c r="N34" s="7"/>
    </row>
    <row r="35" spans="2:14" s="2" customFormat="1" ht="25.5">
      <c r="B35" s="195" t="s">
        <v>245</v>
      </c>
      <c r="C35" s="190" t="s">
        <v>233</v>
      </c>
      <c r="D35" s="231" t="s">
        <v>38</v>
      </c>
      <c r="E35" s="175">
        <v>96546</v>
      </c>
      <c r="F35" s="176">
        <v>76</v>
      </c>
      <c r="G35" s="196">
        <v>8.07</v>
      </c>
      <c r="H35" s="177">
        <f>TRUNC(G35*(1+$H$15),2)</f>
        <v>10.29</v>
      </c>
      <c r="I35" s="177">
        <f t="shared" ref="I35" si="3">TRUNC(H35*F35,2)</f>
        <v>782.04</v>
      </c>
      <c r="J35" s="172"/>
      <c r="K35" s="173"/>
      <c r="L35" s="170">
        <f t="shared" si="0"/>
        <v>1.9509152867100063E-3</v>
      </c>
      <c r="N35" s="7"/>
    </row>
    <row r="36" spans="2:14" s="2" customFormat="1">
      <c r="B36" s="278" t="s">
        <v>5</v>
      </c>
      <c r="C36" s="279"/>
      <c r="D36" s="279"/>
      <c r="E36" s="279"/>
      <c r="F36" s="279"/>
      <c r="G36" s="286">
        <f>(100%)</f>
        <v>1</v>
      </c>
      <c r="H36" s="287"/>
      <c r="I36" s="171">
        <f>SUM(I30:I35)</f>
        <v>3621.82</v>
      </c>
      <c r="J36" s="172"/>
      <c r="K36" s="173"/>
      <c r="L36" s="170">
        <f t="shared" si="0"/>
        <v>9.0351695612910284E-3</v>
      </c>
      <c r="N36" s="7"/>
    </row>
    <row r="37" spans="2:14" s="2" customFormat="1">
      <c r="B37" s="191">
        <v>5</v>
      </c>
      <c r="C37" s="160" t="s">
        <v>234</v>
      </c>
      <c r="D37" s="290"/>
      <c r="E37" s="291"/>
      <c r="F37" s="291"/>
      <c r="G37" s="291"/>
      <c r="H37" s="291"/>
      <c r="I37" s="292"/>
      <c r="J37" s="172"/>
      <c r="K37" s="173"/>
      <c r="L37" s="170">
        <f t="shared" si="0"/>
        <v>0</v>
      </c>
      <c r="N37" s="7"/>
    </row>
    <row r="38" spans="2:14" s="2" customFormat="1" ht="25.5">
      <c r="B38" s="195" t="s">
        <v>53</v>
      </c>
      <c r="C38" s="190" t="s">
        <v>34</v>
      </c>
      <c r="D38" s="231" t="s">
        <v>33</v>
      </c>
      <c r="E38" s="175">
        <v>94965</v>
      </c>
      <c r="F38" s="176">
        <v>3.05</v>
      </c>
      <c r="G38" s="196">
        <v>308.95999999999998</v>
      </c>
      <c r="H38" s="177">
        <f>TRUNC(G38*(1+$H$15),2)</f>
        <v>394.32</v>
      </c>
      <c r="I38" s="177">
        <f t="shared" ref="I38:I42" si="4">TRUNC(H38*F38,2)</f>
        <v>1202.67</v>
      </c>
      <c r="J38" s="172"/>
      <c r="K38" s="173"/>
      <c r="L38" s="170">
        <f t="shared" si="0"/>
        <v>3.0002394863018816E-3</v>
      </c>
      <c r="N38" s="7"/>
    </row>
    <row r="39" spans="2:14" s="2" customFormat="1">
      <c r="B39" s="195" t="s">
        <v>54</v>
      </c>
      <c r="C39" s="190" t="s">
        <v>229</v>
      </c>
      <c r="D39" s="231" t="s">
        <v>33</v>
      </c>
      <c r="E39" s="175" t="s">
        <v>230</v>
      </c>
      <c r="F39" s="176">
        <f>F38</f>
        <v>3.05</v>
      </c>
      <c r="G39" s="196">
        <v>96.58</v>
      </c>
      <c r="H39" s="177">
        <f>TRUNC(G39*(1+$H$15),2)</f>
        <v>123.26</v>
      </c>
      <c r="I39" s="177">
        <f t="shared" si="4"/>
        <v>375.94</v>
      </c>
      <c r="J39" s="172"/>
      <c r="K39" s="173"/>
      <c r="L39" s="170">
        <f t="shared" si="0"/>
        <v>9.3783833676763318E-4</v>
      </c>
      <c r="N39" s="7"/>
    </row>
    <row r="40" spans="2:14" s="2" customFormat="1" ht="51">
      <c r="B40" s="195" t="s">
        <v>151</v>
      </c>
      <c r="C40" s="190" t="s">
        <v>231</v>
      </c>
      <c r="D40" s="231" t="s">
        <v>32</v>
      </c>
      <c r="E40" s="175">
        <v>92422</v>
      </c>
      <c r="F40" s="176">
        <v>44</v>
      </c>
      <c r="G40" s="196">
        <v>50.01</v>
      </c>
      <c r="H40" s="177">
        <f>TRUNC(G40*(1+$H$15),2)</f>
        <v>63.82</v>
      </c>
      <c r="I40" s="177">
        <f t="shared" si="4"/>
        <v>2808.08</v>
      </c>
      <c r="J40" s="172"/>
      <c r="K40" s="173"/>
      <c r="L40" s="170">
        <f t="shared" si="0"/>
        <v>7.00517390198025E-3</v>
      </c>
      <c r="N40" s="7"/>
    </row>
    <row r="41" spans="2:14" s="2" customFormat="1" ht="38.25">
      <c r="B41" s="195" t="s">
        <v>179</v>
      </c>
      <c r="C41" s="190" t="s">
        <v>39</v>
      </c>
      <c r="D41" s="231" t="s">
        <v>38</v>
      </c>
      <c r="E41" s="175">
        <v>92775</v>
      </c>
      <c r="F41" s="176">
        <f>79+156</f>
        <v>235</v>
      </c>
      <c r="G41" s="196">
        <v>11.79</v>
      </c>
      <c r="H41" s="177">
        <f>TRUNC(G41*(1+$H$15),2)</f>
        <v>15.04</v>
      </c>
      <c r="I41" s="177">
        <f t="shared" si="4"/>
        <v>3534.4</v>
      </c>
      <c r="J41" s="172"/>
      <c r="K41" s="173"/>
      <c r="L41" s="170">
        <f t="shared" si="0"/>
        <v>8.8170873476393109E-3</v>
      </c>
      <c r="N41" s="7"/>
    </row>
    <row r="42" spans="2:14" s="2" customFormat="1" ht="38.25">
      <c r="B42" s="195" t="s">
        <v>209</v>
      </c>
      <c r="C42" s="190" t="s">
        <v>235</v>
      </c>
      <c r="D42" s="231" t="s">
        <v>38</v>
      </c>
      <c r="E42" s="175">
        <v>92778</v>
      </c>
      <c r="F42" s="176">
        <v>52</v>
      </c>
      <c r="G42" s="196">
        <v>8.02</v>
      </c>
      <c r="H42" s="177">
        <f>TRUNC(G42*(1+$H$15),2)</f>
        <v>10.23</v>
      </c>
      <c r="I42" s="177">
        <f t="shared" si="4"/>
        <v>531.96</v>
      </c>
      <c r="J42" s="172"/>
      <c r="K42" s="173"/>
      <c r="L42" s="170">
        <f t="shared" si="0"/>
        <v>1.327053470306193E-3</v>
      </c>
      <c r="N42" s="7"/>
    </row>
    <row r="43" spans="2:14" s="2" customFormat="1">
      <c r="B43" s="278" t="s">
        <v>5</v>
      </c>
      <c r="C43" s="279"/>
      <c r="D43" s="279"/>
      <c r="E43" s="279"/>
      <c r="F43" s="279"/>
      <c r="G43" s="286">
        <f>(100%)</f>
        <v>1</v>
      </c>
      <c r="H43" s="287"/>
      <c r="I43" s="171">
        <f>SUM(I38:I42)</f>
        <v>8453.0499999999993</v>
      </c>
      <c r="J43" s="172"/>
      <c r="K43" s="173"/>
      <c r="L43" s="170">
        <f t="shared" si="0"/>
        <v>2.1087392542995267E-2</v>
      </c>
      <c r="N43" s="7"/>
    </row>
    <row r="44" spans="2:14" s="2" customFormat="1">
      <c r="B44" s="191">
        <v>6</v>
      </c>
      <c r="C44" s="159" t="s">
        <v>236</v>
      </c>
      <c r="D44" s="276"/>
      <c r="E44" s="277"/>
      <c r="F44" s="277"/>
      <c r="G44" s="277"/>
      <c r="H44" s="277"/>
      <c r="I44" s="277"/>
      <c r="J44" s="172"/>
      <c r="K44" s="173"/>
      <c r="L44" s="170">
        <f t="shared" si="0"/>
        <v>0</v>
      </c>
      <c r="N44" s="7"/>
    </row>
    <row r="45" spans="2:14" s="2" customFormat="1" ht="25.5">
      <c r="B45" s="195" t="s">
        <v>173</v>
      </c>
      <c r="C45" s="230" t="s">
        <v>237</v>
      </c>
      <c r="D45" s="231" t="s">
        <v>32</v>
      </c>
      <c r="E45" s="162" t="s">
        <v>238</v>
      </c>
      <c r="F45" s="164">
        <v>174.1</v>
      </c>
      <c r="G45" s="196">
        <v>8.64</v>
      </c>
      <c r="H45" s="177">
        <f>TRUNC(G45*(1+$H$15),2)</f>
        <v>11.02</v>
      </c>
      <c r="I45" s="177">
        <f t="shared" ref="I45" si="5">TRUNC(H45*F45,2)</f>
        <v>1918.58</v>
      </c>
      <c r="J45" s="172"/>
      <c r="K45" s="173"/>
      <c r="L45" s="170">
        <f t="shared" si="0"/>
        <v>4.7861836361005631E-3</v>
      </c>
      <c r="N45" s="7"/>
    </row>
    <row r="46" spans="2:14" s="2" customFormat="1">
      <c r="B46" s="278" t="s">
        <v>5</v>
      </c>
      <c r="C46" s="279"/>
      <c r="D46" s="279"/>
      <c r="E46" s="279"/>
      <c r="F46" s="279"/>
      <c r="G46" s="280">
        <f>(100%)</f>
        <v>1</v>
      </c>
      <c r="H46" s="281"/>
      <c r="I46" s="199">
        <f>SUM(I45:I45)</f>
        <v>1918.58</v>
      </c>
      <c r="J46" s="172"/>
      <c r="K46" s="173"/>
      <c r="L46" s="170">
        <f t="shared" si="0"/>
        <v>4.7861836361005631E-3</v>
      </c>
      <c r="N46" s="7"/>
    </row>
    <row r="47" spans="2:14" s="2" customFormat="1">
      <c r="B47" s="191">
        <v>7</v>
      </c>
      <c r="C47" s="159" t="s">
        <v>243</v>
      </c>
      <c r="D47" s="276"/>
      <c r="E47" s="277"/>
      <c r="F47" s="277"/>
      <c r="G47" s="277"/>
      <c r="H47" s="277"/>
      <c r="I47" s="277"/>
      <c r="J47" s="172"/>
      <c r="K47" s="173"/>
      <c r="L47" s="170">
        <f t="shared" si="0"/>
        <v>0</v>
      </c>
      <c r="N47" s="7"/>
    </row>
    <row r="48" spans="2:14" s="2" customFormat="1" ht="38.25">
      <c r="B48" s="195" t="s">
        <v>174</v>
      </c>
      <c r="C48" s="230" t="s">
        <v>239</v>
      </c>
      <c r="D48" s="231" t="s">
        <v>32</v>
      </c>
      <c r="E48" s="232">
        <v>92510</v>
      </c>
      <c r="F48" s="164">
        <v>47</v>
      </c>
      <c r="G48" s="196">
        <v>34.06</v>
      </c>
      <c r="H48" s="177">
        <f>TRUNC(G48*(1+$H$15),2)</f>
        <v>43.47</v>
      </c>
      <c r="I48" s="177">
        <f t="shared" ref="I48" si="6">TRUNC(H48*F48,2)</f>
        <v>2043.09</v>
      </c>
      <c r="J48" s="172"/>
      <c r="K48" s="173"/>
      <c r="L48" s="170">
        <f t="shared" si="0"/>
        <v>5.09679238034416E-3</v>
      </c>
      <c r="N48" s="7"/>
    </row>
    <row r="49" spans="2:14" s="2" customFormat="1" ht="38.25">
      <c r="B49" s="195" t="s">
        <v>182</v>
      </c>
      <c r="C49" s="187" t="s">
        <v>242</v>
      </c>
      <c r="D49" s="188" t="s">
        <v>33</v>
      </c>
      <c r="E49" s="188">
        <v>90861</v>
      </c>
      <c r="F49" s="189">
        <v>3.76</v>
      </c>
      <c r="G49" s="176">
        <v>450.72</v>
      </c>
      <c r="H49" s="186">
        <f>TRUNC((G49*$H$15)+G49,2)</f>
        <v>575.25</v>
      </c>
      <c r="I49" s="186">
        <f>TRUNC(H49*F49,2)</f>
        <v>2162.94</v>
      </c>
      <c r="J49" s="172"/>
      <c r="K49" s="173"/>
      <c r="L49" s="170">
        <f t="shared" si="0"/>
        <v>5.3957760603505463E-3</v>
      </c>
      <c r="N49" s="7"/>
    </row>
    <row r="50" spans="2:14" s="2" customFormat="1" ht="38.25">
      <c r="B50" s="195" t="s">
        <v>195</v>
      </c>
      <c r="C50" s="203" t="s">
        <v>241</v>
      </c>
      <c r="D50" s="183" t="s">
        <v>38</v>
      </c>
      <c r="E50" s="184">
        <v>92786</v>
      </c>
      <c r="F50" s="185">
        <v>430</v>
      </c>
      <c r="G50" s="176">
        <v>8.89</v>
      </c>
      <c r="H50" s="186">
        <f>TRUNC((G50*$H$15)+G50,2)</f>
        <v>11.34</v>
      </c>
      <c r="I50" s="186">
        <f>TRUNC(H50*F50,2)</f>
        <v>4876.2</v>
      </c>
      <c r="J50" s="172"/>
      <c r="K50" s="173"/>
      <c r="L50" s="170">
        <f t="shared" si="0"/>
        <v>1.2164407346242306E-2</v>
      </c>
      <c r="N50" s="7"/>
    </row>
    <row r="51" spans="2:14" s="2" customFormat="1" ht="38.25">
      <c r="B51" s="195" t="s">
        <v>196</v>
      </c>
      <c r="C51" s="203" t="s">
        <v>240</v>
      </c>
      <c r="D51" s="183" t="s">
        <v>38</v>
      </c>
      <c r="E51" s="184">
        <v>92784</v>
      </c>
      <c r="F51" s="185">
        <v>168</v>
      </c>
      <c r="G51" s="176">
        <v>10.119999999999999</v>
      </c>
      <c r="H51" s="186">
        <f>TRUNC((G51*$H$15)+G51,2)</f>
        <v>12.91</v>
      </c>
      <c r="I51" s="186">
        <f>TRUNC(H51*F51,2)</f>
        <v>2168.88</v>
      </c>
      <c r="J51" s="172"/>
      <c r="K51" s="173"/>
      <c r="L51" s="170">
        <f t="shared" si="0"/>
        <v>5.4105942752795243E-3</v>
      </c>
      <c r="N51" s="7"/>
    </row>
    <row r="52" spans="2:14" s="2" customFormat="1" ht="38.25">
      <c r="B52" s="195" t="s">
        <v>197</v>
      </c>
      <c r="C52" s="190" t="s">
        <v>275</v>
      </c>
      <c r="D52" s="231" t="s">
        <v>32</v>
      </c>
      <c r="E52" s="175">
        <v>90406</v>
      </c>
      <c r="F52" s="176">
        <v>47</v>
      </c>
      <c r="G52" s="196">
        <v>30.72</v>
      </c>
      <c r="H52" s="177">
        <f>TRUNC(G52*(1+$H$15),2)</f>
        <v>39.200000000000003</v>
      </c>
      <c r="I52" s="177">
        <f t="shared" ref="I52:I53" si="7">TRUNC(H52*F52,2)</f>
        <v>1842.4</v>
      </c>
      <c r="J52" s="172"/>
      <c r="K52" s="173"/>
      <c r="L52" s="170">
        <f t="shared" si="0"/>
        <v>4.5961412769609175E-3</v>
      </c>
      <c r="N52" s="7"/>
    </row>
    <row r="53" spans="2:14" s="2" customFormat="1" ht="25.5">
      <c r="B53" s="195" t="s">
        <v>399</v>
      </c>
      <c r="C53" s="230" t="s">
        <v>276</v>
      </c>
      <c r="D53" s="175" t="s">
        <v>32</v>
      </c>
      <c r="E53" s="161">
        <v>88486</v>
      </c>
      <c r="F53" s="161">
        <v>47</v>
      </c>
      <c r="G53" s="239">
        <v>9.5</v>
      </c>
      <c r="H53" s="177">
        <f>TRUNC(G53*(1+$H$15),2)</f>
        <v>12.12</v>
      </c>
      <c r="I53" s="177">
        <f t="shared" si="7"/>
        <v>569.64</v>
      </c>
      <c r="J53" s="172"/>
      <c r="K53" s="173"/>
      <c r="L53" s="170">
        <f t="shared" si="0"/>
        <v>1.4210518437950592E-3</v>
      </c>
      <c r="N53" s="7"/>
    </row>
    <row r="54" spans="2:14" s="2" customFormat="1">
      <c r="B54" s="278" t="s">
        <v>5</v>
      </c>
      <c r="C54" s="279"/>
      <c r="D54" s="279"/>
      <c r="E54" s="279"/>
      <c r="F54" s="279"/>
      <c r="G54" s="280">
        <f>(100%)</f>
        <v>1</v>
      </c>
      <c r="H54" s="281"/>
      <c r="I54" s="199">
        <f>SUM(I48:I53)</f>
        <v>13663.15</v>
      </c>
      <c r="J54" s="172"/>
      <c r="K54" s="173"/>
      <c r="L54" s="170">
        <f t="shared" si="0"/>
        <v>3.4084763182972516E-2</v>
      </c>
      <c r="N54" s="7"/>
    </row>
    <row r="55" spans="2:14" s="2" customFormat="1">
      <c r="B55" s="191">
        <v>8</v>
      </c>
      <c r="C55" s="159" t="s">
        <v>266</v>
      </c>
      <c r="D55" s="276"/>
      <c r="E55" s="277"/>
      <c r="F55" s="277"/>
      <c r="G55" s="277"/>
      <c r="H55" s="277"/>
      <c r="I55" s="277"/>
      <c r="J55" s="172"/>
      <c r="K55" s="173"/>
      <c r="L55" s="170">
        <f t="shared" si="0"/>
        <v>0</v>
      </c>
      <c r="N55" s="7"/>
    </row>
    <row r="56" spans="2:14" s="2" customFormat="1" ht="51">
      <c r="B56" s="195" t="s">
        <v>175</v>
      </c>
      <c r="C56" s="230" t="s">
        <v>267</v>
      </c>
      <c r="D56" s="231" t="s">
        <v>32</v>
      </c>
      <c r="E56" s="232">
        <v>87501</v>
      </c>
      <c r="F56" s="164">
        <v>44.8</v>
      </c>
      <c r="G56" s="196">
        <v>108.75</v>
      </c>
      <c r="H56" s="177">
        <f>TRUNC(G56*(1+$H$15),2)</f>
        <v>138.79</v>
      </c>
      <c r="I56" s="177">
        <f t="shared" ref="I56:I61" si="8">TRUNC(H56*F56,2)</f>
        <v>6217.79</v>
      </c>
      <c r="J56" s="172"/>
      <c r="K56" s="173"/>
      <c r="L56" s="170">
        <f t="shared" si="0"/>
        <v>1.5511203468559935E-2</v>
      </c>
      <c r="N56" s="7"/>
    </row>
    <row r="57" spans="2:14" s="2" customFormat="1" ht="38.25">
      <c r="B57" s="195" t="s">
        <v>199</v>
      </c>
      <c r="C57" s="230" t="s">
        <v>268</v>
      </c>
      <c r="D57" s="231" t="s">
        <v>32</v>
      </c>
      <c r="E57" s="175">
        <v>87894</v>
      </c>
      <c r="F57" s="176">
        <f>F56*2</f>
        <v>89.6</v>
      </c>
      <c r="G57" s="196">
        <v>4.47</v>
      </c>
      <c r="H57" s="177">
        <f t="shared" ref="H57:H61" si="9">TRUNC(G57*(1+$H$15),2)</f>
        <v>5.7</v>
      </c>
      <c r="I57" s="177">
        <f t="shared" si="8"/>
        <v>510.72</v>
      </c>
      <c r="J57" s="172"/>
      <c r="K57" s="173"/>
      <c r="L57" s="170">
        <f t="shared" si="0"/>
        <v>1.2740671260146981E-3</v>
      </c>
      <c r="N57" s="7"/>
    </row>
    <row r="58" spans="2:14" s="2" customFormat="1" ht="51">
      <c r="B58" s="195" t="s">
        <v>206</v>
      </c>
      <c r="C58" s="190" t="s">
        <v>270</v>
      </c>
      <c r="D58" s="231" t="s">
        <v>32</v>
      </c>
      <c r="E58" s="175">
        <v>87529</v>
      </c>
      <c r="F58" s="176">
        <f>F57</f>
        <v>89.6</v>
      </c>
      <c r="G58" s="196">
        <v>23.16</v>
      </c>
      <c r="H58" s="177">
        <f t="shared" si="9"/>
        <v>29.55</v>
      </c>
      <c r="I58" s="177">
        <f t="shared" si="8"/>
        <v>2647.68</v>
      </c>
      <c r="J58" s="172"/>
      <c r="K58" s="173"/>
      <c r="L58" s="170">
        <f t="shared" si="0"/>
        <v>6.6050322059183026E-3</v>
      </c>
      <c r="N58" s="7"/>
    </row>
    <row r="59" spans="2:14" s="2" customFormat="1" ht="25.5">
      <c r="B59" s="195" t="s">
        <v>211</v>
      </c>
      <c r="C59" s="190" t="s">
        <v>271</v>
      </c>
      <c r="D59" s="175" t="s">
        <v>32</v>
      </c>
      <c r="E59" s="175">
        <v>88415</v>
      </c>
      <c r="F59" s="176">
        <f>F58</f>
        <v>89.6</v>
      </c>
      <c r="G59" s="196">
        <v>1.86</v>
      </c>
      <c r="H59" s="177">
        <f t="shared" si="9"/>
        <v>2.37</v>
      </c>
      <c r="I59" s="233">
        <f t="shared" si="8"/>
        <v>212.35</v>
      </c>
      <c r="J59" s="172"/>
      <c r="K59" s="173"/>
      <c r="L59" s="170">
        <f t="shared" si="0"/>
        <v>5.2973871046605012E-4</v>
      </c>
      <c r="N59" s="7"/>
    </row>
    <row r="60" spans="2:14" s="2" customFormat="1" ht="25.5">
      <c r="B60" s="195" t="s">
        <v>269</v>
      </c>
      <c r="C60" s="190" t="s">
        <v>272</v>
      </c>
      <c r="D60" s="175" t="s">
        <v>32</v>
      </c>
      <c r="E60" s="175">
        <v>96130</v>
      </c>
      <c r="F60" s="176">
        <f>F59</f>
        <v>89.6</v>
      </c>
      <c r="G60" s="196">
        <v>13.75</v>
      </c>
      <c r="H60" s="177">
        <f t="shared" si="9"/>
        <v>17.54</v>
      </c>
      <c r="I60" s="233">
        <f t="shared" si="8"/>
        <v>1571.58</v>
      </c>
      <c r="J60" s="172"/>
      <c r="K60" s="173"/>
      <c r="L60" s="170">
        <f t="shared" si="0"/>
        <v>3.9205404407545797E-3</v>
      </c>
      <c r="N60" s="7"/>
    </row>
    <row r="61" spans="2:14" s="2" customFormat="1" ht="25.5">
      <c r="B61" s="195" t="s">
        <v>274</v>
      </c>
      <c r="C61" s="190" t="s">
        <v>273</v>
      </c>
      <c r="D61" s="175" t="s">
        <v>32</v>
      </c>
      <c r="E61" s="175">
        <v>95626</v>
      </c>
      <c r="F61" s="176">
        <f>F60</f>
        <v>89.6</v>
      </c>
      <c r="G61" s="196">
        <v>11.61</v>
      </c>
      <c r="H61" s="177">
        <f t="shared" si="9"/>
        <v>14.81</v>
      </c>
      <c r="I61" s="233">
        <f t="shared" si="8"/>
        <v>1326.97</v>
      </c>
      <c r="J61" s="172"/>
      <c r="K61" s="173"/>
      <c r="L61" s="170">
        <f t="shared" si="0"/>
        <v>3.3103243542601112E-3</v>
      </c>
      <c r="N61" s="7"/>
    </row>
    <row r="62" spans="2:14" s="2" customFormat="1">
      <c r="B62" s="278" t="s">
        <v>5</v>
      </c>
      <c r="C62" s="279"/>
      <c r="D62" s="279"/>
      <c r="E62" s="279"/>
      <c r="F62" s="279"/>
      <c r="G62" s="280">
        <f>(100%)</f>
        <v>1</v>
      </c>
      <c r="H62" s="281"/>
      <c r="I62" s="199">
        <f>SUM(I56:K61)</f>
        <v>12487.09</v>
      </c>
      <c r="J62" s="172"/>
      <c r="K62" s="173"/>
      <c r="L62" s="170">
        <f t="shared" si="0"/>
        <v>3.1150906305973679E-2</v>
      </c>
      <c r="N62" s="7"/>
    </row>
    <row r="63" spans="2:14" s="66" customFormat="1">
      <c r="B63" s="159">
        <v>9</v>
      </c>
      <c r="C63" s="160" t="s">
        <v>102</v>
      </c>
      <c r="D63" s="288"/>
      <c r="E63" s="288"/>
      <c r="F63" s="288"/>
      <c r="G63" s="288"/>
      <c r="H63" s="288"/>
      <c r="I63" s="289"/>
      <c r="J63" s="182"/>
      <c r="K63" s="182"/>
      <c r="L63" s="170">
        <f t="shared" si="0"/>
        <v>0</v>
      </c>
      <c r="N63" s="68"/>
    </row>
    <row r="64" spans="2:14" s="64" customFormat="1" ht="38.25">
      <c r="B64" s="174" t="s">
        <v>198</v>
      </c>
      <c r="C64" s="203" t="s">
        <v>205</v>
      </c>
      <c r="D64" s="183" t="s">
        <v>32</v>
      </c>
      <c r="E64" s="184">
        <v>94992</v>
      </c>
      <c r="F64" s="185">
        <v>1694</v>
      </c>
      <c r="G64" s="176">
        <v>57.98</v>
      </c>
      <c r="H64" s="186">
        <f>TRUNC((G64*$H$15)+G64,2)</f>
        <v>73.989999999999995</v>
      </c>
      <c r="I64" s="186">
        <f>TRUNC(H64*F64,2)</f>
        <v>125339.06</v>
      </c>
      <c r="J64" s="178">
        <v>0</v>
      </c>
      <c r="K64" s="179" t="e">
        <f>(J64*#REF!)</f>
        <v>#REF!</v>
      </c>
      <c r="L64" s="170">
        <f>I64/$I$97</f>
        <v>0.31267695792525024</v>
      </c>
      <c r="N64" s="69"/>
    </row>
    <row r="65" spans="2:14" s="64" customFormat="1" ht="38.25">
      <c r="B65" s="174" t="s">
        <v>246</v>
      </c>
      <c r="C65" s="187" t="s">
        <v>134</v>
      </c>
      <c r="D65" s="188" t="s">
        <v>32</v>
      </c>
      <c r="E65" s="188" t="s">
        <v>109</v>
      </c>
      <c r="F65" s="189">
        <v>148.38</v>
      </c>
      <c r="G65" s="176">
        <v>88.97</v>
      </c>
      <c r="H65" s="186">
        <f>TRUNC((G65*$H$15)+G65,2)</f>
        <v>113.55</v>
      </c>
      <c r="I65" s="186">
        <f>TRUNC(H65*F65,2)</f>
        <v>16848.54</v>
      </c>
      <c r="J65" s="178">
        <v>0</v>
      </c>
      <c r="K65" s="179" t="e">
        <f>(J65*#REF!)</f>
        <v>#REF!</v>
      </c>
      <c r="L65" s="170">
        <f>I65/$I$97</f>
        <v>4.2031193090820179E-2</v>
      </c>
      <c r="N65" s="69"/>
    </row>
    <row r="66" spans="2:14" s="64" customFormat="1" ht="38.25">
      <c r="B66" s="174" t="s">
        <v>247</v>
      </c>
      <c r="C66" s="203" t="s">
        <v>133</v>
      </c>
      <c r="D66" s="183" t="s">
        <v>40</v>
      </c>
      <c r="E66" s="184" t="s">
        <v>110</v>
      </c>
      <c r="F66" s="185">
        <v>12</v>
      </c>
      <c r="G66" s="176">
        <v>233.73</v>
      </c>
      <c r="H66" s="186">
        <f>TRUNC((G66*$H$15)+G66,2)</f>
        <v>298.3</v>
      </c>
      <c r="I66" s="186">
        <f>TRUNC(H66*F66,2)</f>
        <v>3579.6</v>
      </c>
      <c r="J66" s="178">
        <v>0</v>
      </c>
      <c r="K66" s="179" t="e">
        <f>(J66*#REF!)</f>
        <v>#REF!</v>
      </c>
      <c r="L66" s="170">
        <f>I66/$I$97</f>
        <v>8.9298454814423032E-3</v>
      </c>
      <c r="N66" s="69"/>
    </row>
    <row r="67" spans="2:14" s="64" customFormat="1" ht="25.5">
      <c r="B67" s="174" t="s">
        <v>248</v>
      </c>
      <c r="C67" s="203" t="s">
        <v>187</v>
      </c>
      <c r="D67" s="183" t="s">
        <v>32</v>
      </c>
      <c r="E67" s="184">
        <v>72132</v>
      </c>
      <c r="F67" s="185">
        <v>7.2</v>
      </c>
      <c r="G67" s="176">
        <v>63.08</v>
      </c>
      <c r="H67" s="186">
        <f>TRUNC((G67*$H$15)+G67,2)</f>
        <v>80.5</v>
      </c>
      <c r="I67" s="186">
        <f>TRUNC(H67*F67,2)</f>
        <v>579.6</v>
      </c>
      <c r="J67" s="178"/>
      <c r="K67" s="179"/>
      <c r="L67" s="170">
        <f>I67/$I$97</f>
        <v>1.4458985476153647E-3</v>
      </c>
      <c r="N67" s="69"/>
    </row>
    <row r="68" spans="2:14" s="1" customFormat="1" ht="12.75" customHeight="1">
      <c r="B68" s="278" t="s">
        <v>5</v>
      </c>
      <c r="C68" s="279"/>
      <c r="D68" s="279"/>
      <c r="E68" s="279"/>
      <c r="F68" s="279"/>
      <c r="G68" s="286">
        <f>(100%)</f>
        <v>1</v>
      </c>
      <c r="H68" s="287"/>
      <c r="I68" s="171">
        <f>SUM(I64:I67)</f>
        <v>146346.80000000002</v>
      </c>
      <c r="J68" s="172">
        <v>0</v>
      </c>
      <c r="K68" s="173" t="e">
        <f>SUM(#REF!)</f>
        <v>#REF!</v>
      </c>
      <c r="L68" s="170"/>
      <c r="N68" s="6"/>
    </row>
    <row r="69" spans="2:14" s="70" customFormat="1">
      <c r="B69" s="191">
        <v>10</v>
      </c>
      <c r="C69" s="192" t="s">
        <v>25</v>
      </c>
      <c r="D69" s="349"/>
      <c r="E69" s="349"/>
      <c r="F69" s="349"/>
      <c r="G69" s="349"/>
      <c r="H69" s="349"/>
      <c r="I69" s="350"/>
      <c r="J69" s="193"/>
      <c r="K69" s="193"/>
      <c r="L69" s="194"/>
      <c r="N69" s="71"/>
    </row>
    <row r="70" spans="2:14" s="70" customFormat="1">
      <c r="B70" s="195" t="s">
        <v>249</v>
      </c>
      <c r="C70" s="190" t="s">
        <v>152</v>
      </c>
      <c r="D70" s="175" t="s">
        <v>154</v>
      </c>
      <c r="E70" s="181">
        <v>84665</v>
      </c>
      <c r="F70" s="176">
        <v>43.72</v>
      </c>
      <c r="G70" s="196">
        <v>16.98</v>
      </c>
      <c r="H70" s="177">
        <f>TRUNC(G70*$H$15+G70,2)</f>
        <v>21.67</v>
      </c>
      <c r="I70" s="177">
        <f>TRUNC(H70*F70,2)</f>
        <v>947.41</v>
      </c>
      <c r="J70" s="197">
        <v>0</v>
      </c>
      <c r="K70" s="198" t="e">
        <f>(J70*#REF!)</f>
        <v>#REF!</v>
      </c>
      <c r="L70" s="194">
        <f>I70/$I$97</f>
        <v>2.3634553881923268E-3</v>
      </c>
      <c r="N70" s="71"/>
    </row>
    <row r="71" spans="2:14" s="70" customFormat="1">
      <c r="B71" s="195" t="s">
        <v>250</v>
      </c>
      <c r="C71" s="190" t="s">
        <v>144</v>
      </c>
      <c r="D71" s="175" t="s">
        <v>32</v>
      </c>
      <c r="E71" s="181">
        <v>83693</v>
      </c>
      <c r="F71" s="176">
        <v>307.58</v>
      </c>
      <c r="G71" s="196">
        <v>3.27</v>
      </c>
      <c r="H71" s="177">
        <f>TRUNC(G71*$H$15+G71,2)</f>
        <v>4.17</v>
      </c>
      <c r="I71" s="177">
        <f>TRUNC(H71*F71,2)</f>
        <v>1282.5999999999999</v>
      </c>
      <c r="J71" s="197">
        <v>0</v>
      </c>
      <c r="K71" s="198" t="e">
        <f>(J71*#REF!)</f>
        <v>#REF!</v>
      </c>
      <c r="L71" s="194">
        <f>I71/$I$97</f>
        <v>3.1996367791088105E-3</v>
      </c>
      <c r="N71" s="71"/>
    </row>
    <row r="72" spans="2:14" s="70" customFormat="1">
      <c r="B72" s="195" t="s">
        <v>251</v>
      </c>
      <c r="C72" s="190" t="s">
        <v>111</v>
      </c>
      <c r="D72" s="175" t="s">
        <v>32</v>
      </c>
      <c r="E72" s="181" t="s">
        <v>83</v>
      </c>
      <c r="F72" s="176">
        <v>4585.3599999999997</v>
      </c>
      <c r="G72" s="196">
        <v>12.53</v>
      </c>
      <c r="H72" s="177">
        <f>TRUNC(G72*$H$15+G72,2)</f>
        <v>15.99</v>
      </c>
      <c r="I72" s="177">
        <f>TRUNC(H72*F72,2)</f>
        <v>73319.899999999994</v>
      </c>
      <c r="J72" s="197"/>
      <c r="K72" s="198"/>
      <c r="L72" s="194">
        <f>I72/$I$97</f>
        <v>0.18290741359783258</v>
      </c>
      <c r="N72" s="71"/>
    </row>
    <row r="73" spans="2:14" s="70" customFormat="1" ht="25.5">
      <c r="B73" s="195" t="s">
        <v>252</v>
      </c>
      <c r="C73" s="203" t="s">
        <v>221</v>
      </c>
      <c r="D73" s="183" t="s">
        <v>32</v>
      </c>
      <c r="E73" s="184">
        <v>88487</v>
      </c>
      <c r="F73" s="185">
        <v>146.68</v>
      </c>
      <c r="G73" s="196">
        <v>8.51</v>
      </c>
      <c r="H73" s="186">
        <f>TRUNC(G73*$H$15+G73,2)</f>
        <v>10.86</v>
      </c>
      <c r="I73" s="186">
        <f>TRUNC(H73*F73,2)</f>
        <v>1592.94</v>
      </c>
      <c r="J73" s="197"/>
      <c r="K73" s="198"/>
      <c r="L73" s="194">
        <f>I73/$I$97</f>
        <v>3.973826142923428E-3</v>
      </c>
      <c r="N73" s="71"/>
    </row>
    <row r="74" spans="2:14" s="70" customFormat="1">
      <c r="B74" s="195" t="s">
        <v>253</v>
      </c>
      <c r="C74" s="203" t="s">
        <v>220</v>
      </c>
      <c r="D74" s="183" t="s">
        <v>32</v>
      </c>
      <c r="E74" s="184" t="s">
        <v>210</v>
      </c>
      <c r="F74" s="185">
        <v>9.24</v>
      </c>
      <c r="G74" s="196">
        <v>22.83</v>
      </c>
      <c r="H74" s="186">
        <f>TRUNC(G74*$H$15+G74,2)</f>
        <v>29.13</v>
      </c>
      <c r="I74" s="186">
        <f>TRUNC(H74*F74,2)</f>
        <v>269.16000000000003</v>
      </c>
      <c r="J74" s="197"/>
      <c r="K74" s="198"/>
      <c r="L74" s="194">
        <f>I74/$I$97</f>
        <v>6.7145971890295302E-4</v>
      </c>
      <c r="N74" s="71"/>
    </row>
    <row r="75" spans="2:14" s="1" customFormat="1" ht="12.75" customHeight="1">
      <c r="B75" s="278" t="s">
        <v>5</v>
      </c>
      <c r="C75" s="279"/>
      <c r="D75" s="279"/>
      <c r="E75" s="279"/>
      <c r="F75" s="279"/>
      <c r="G75" s="280">
        <f>(100%)</f>
        <v>1</v>
      </c>
      <c r="H75" s="281"/>
      <c r="I75" s="199">
        <f>SUM(I70:I74)</f>
        <v>77412.009999999995</v>
      </c>
      <c r="J75" s="200" t="e">
        <f>(K75/#REF!)</f>
        <v>#REF!</v>
      </c>
      <c r="K75" s="201" t="e">
        <f>SUM(#REF!)</f>
        <v>#REF!</v>
      </c>
      <c r="L75" s="194"/>
      <c r="M75" s="55"/>
      <c r="N75" s="6"/>
    </row>
    <row r="76" spans="2:14" s="1" customFormat="1">
      <c r="B76" s="159">
        <v>11</v>
      </c>
      <c r="C76" s="160" t="s">
        <v>194</v>
      </c>
      <c r="D76" s="282"/>
      <c r="E76" s="283"/>
      <c r="F76" s="283"/>
      <c r="G76" s="283"/>
      <c r="H76" s="283"/>
      <c r="I76" s="284"/>
      <c r="J76" s="200"/>
      <c r="K76" s="201"/>
      <c r="L76" s="194"/>
      <c r="M76" s="55"/>
      <c r="N76" s="6"/>
    </row>
    <row r="77" spans="2:14" s="1" customFormat="1">
      <c r="B77" s="174" t="s">
        <v>254</v>
      </c>
      <c r="C77" s="174" t="s">
        <v>222</v>
      </c>
      <c r="D77" s="183" t="s">
        <v>32</v>
      </c>
      <c r="E77" s="184">
        <v>72122</v>
      </c>
      <c r="F77" s="185">
        <v>5.0999999999999996</v>
      </c>
      <c r="G77" s="176">
        <v>111.07</v>
      </c>
      <c r="H77" s="186">
        <f>TRUNC(G77*$H$15+G77,2)</f>
        <v>141.75</v>
      </c>
      <c r="I77" s="186">
        <f>TRUNC(H77*F77,2)</f>
        <v>722.92</v>
      </c>
      <c r="J77" s="200"/>
      <c r="K77" s="201"/>
      <c r="L77" s="194"/>
      <c r="M77" s="55"/>
      <c r="N77" s="6"/>
    </row>
    <row r="78" spans="2:14" s="1" customFormat="1" ht="12.75" customHeight="1">
      <c r="B78" s="278" t="s">
        <v>5</v>
      </c>
      <c r="C78" s="279"/>
      <c r="D78" s="279"/>
      <c r="E78" s="279"/>
      <c r="F78" s="279"/>
      <c r="G78" s="286">
        <f>(100%)</f>
        <v>1</v>
      </c>
      <c r="H78" s="287"/>
      <c r="I78" s="171">
        <f>SUM(I77)</f>
        <v>722.92</v>
      </c>
      <c r="J78" s="200"/>
      <c r="K78" s="201"/>
      <c r="L78" s="194"/>
      <c r="M78" s="55"/>
      <c r="N78" s="6"/>
    </row>
    <row r="79" spans="2:14" s="70" customFormat="1">
      <c r="B79" s="224">
        <v>12</v>
      </c>
      <c r="C79" s="225" t="s">
        <v>28</v>
      </c>
      <c r="D79" s="352"/>
      <c r="E79" s="352"/>
      <c r="F79" s="352"/>
      <c r="G79" s="352"/>
      <c r="H79" s="352"/>
      <c r="I79" s="353"/>
      <c r="J79" s="193"/>
      <c r="K79" s="193"/>
      <c r="L79" s="194"/>
      <c r="N79" s="71"/>
    </row>
    <row r="80" spans="2:14" s="70" customFormat="1">
      <c r="B80" s="174" t="s">
        <v>255</v>
      </c>
      <c r="C80" s="216" t="s">
        <v>148</v>
      </c>
      <c r="D80" s="218" t="s">
        <v>31</v>
      </c>
      <c r="E80" s="219">
        <v>2674</v>
      </c>
      <c r="F80" s="185">
        <v>480</v>
      </c>
      <c r="G80" s="177">
        <v>2.4900000000000002</v>
      </c>
      <c r="H80" s="186">
        <f t="shared" ref="H80:H85" si="10">TRUNC(G80*$H$15+G80,2)</f>
        <v>3.17</v>
      </c>
      <c r="I80" s="186">
        <f t="shared" ref="I80:I85" si="11">TRUNC(H80*F80,2)</f>
        <v>1521.6</v>
      </c>
      <c r="J80" s="197">
        <v>0</v>
      </c>
      <c r="K80" s="198" t="e">
        <f>(J80*#REF!)</f>
        <v>#REF!</v>
      </c>
      <c r="L80" s="194">
        <f t="shared" ref="L80:L85" si="12">I80/$I$97</f>
        <v>3.7958578848370232E-3</v>
      </c>
      <c r="N80" s="71"/>
    </row>
    <row r="81" spans="2:14" s="70" customFormat="1">
      <c r="B81" s="174" t="s">
        <v>256</v>
      </c>
      <c r="C81" s="216" t="s">
        <v>147</v>
      </c>
      <c r="D81" s="218" t="s">
        <v>40</v>
      </c>
      <c r="E81" s="219">
        <v>1891</v>
      </c>
      <c r="F81" s="185">
        <v>126</v>
      </c>
      <c r="G81" s="177">
        <v>0.84</v>
      </c>
      <c r="H81" s="186">
        <f t="shared" si="10"/>
        <v>1.07</v>
      </c>
      <c r="I81" s="186">
        <f t="shared" si="11"/>
        <v>134.82</v>
      </c>
      <c r="J81" s="197">
        <v>0</v>
      </c>
      <c r="K81" s="198" t="e">
        <f>(J81*#REF!)</f>
        <v>#REF!</v>
      </c>
      <c r="L81" s="194">
        <f t="shared" si="12"/>
        <v>3.3632857520618265E-4</v>
      </c>
      <c r="N81" s="71"/>
    </row>
    <row r="82" spans="2:14" s="70" customFormat="1" ht="25.5">
      <c r="B82" s="174" t="s">
        <v>257</v>
      </c>
      <c r="C82" s="216" t="s">
        <v>149</v>
      </c>
      <c r="D82" s="218" t="s">
        <v>31</v>
      </c>
      <c r="E82" s="219">
        <v>91926</v>
      </c>
      <c r="F82" s="185">
        <v>980</v>
      </c>
      <c r="G82" s="177">
        <v>2.5099999999999998</v>
      </c>
      <c r="H82" s="186">
        <f t="shared" si="10"/>
        <v>3.2</v>
      </c>
      <c r="I82" s="186">
        <f t="shared" si="11"/>
        <v>3136</v>
      </c>
      <c r="J82" s="197"/>
      <c r="K82" s="198"/>
      <c r="L82" s="194">
        <f t="shared" si="12"/>
        <v>7.823219194827093E-3</v>
      </c>
      <c r="N82" s="71"/>
    </row>
    <row r="83" spans="2:14" s="70" customFormat="1" ht="25.5">
      <c r="B83" s="174" t="s">
        <v>258</v>
      </c>
      <c r="C83" s="216" t="s">
        <v>181</v>
      </c>
      <c r="D83" s="218" t="s">
        <v>40</v>
      </c>
      <c r="E83" s="219">
        <v>93661</v>
      </c>
      <c r="F83" s="185">
        <v>1</v>
      </c>
      <c r="G83" s="177">
        <v>43.88</v>
      </c>
      <c r="H83" s="186">
        <f t="shared" si="10"/>
        <v>56</v>
      </c>
      <c r="I83" s="186">
        <f t="shared" si="11"/>
        <v>56</v>
      </c>
      <c r="J83" s="197"/>
      <c r="K83" s="198"/>
      <c r="L83" s="194">
        <f t="shared" si="12"/>
        <v>1.3970034276476954E-4</v>
      </c>
      <c r="N83" s="71"/>
    </row>
    <row r="84" spans="2:14" s="70" customFormat="1">
      <c r="B84" s="174" t="s">
        <v>259</v>
      </c>
      <c r="C84" s="216" t="s">
        <v>150</v>
      </c>
      <c r="D84" s="218" t="s">
        <v>40</v>
      </c>
      <c r="E84" s="219">
        <v>83446</v>
      </c>
      <c r="F84" s="185">
        <v>18</v>
      </c>
      <c r="G84" s="177">
        <v>148.58000000000001</v>
      </c>
      <c r="H84" s="186">
        <f t="shared" si="10"/>
        <v>189.63</v>
      </c>
      <c r="I84" s="186">
        <f t="shared" si="11"/>
        <v>3413.34</v>
      </c>
      <c r="J84" s="197"/>
      <c r="K84" s="198"/>
      <c r="L84" s="194">
        <f t="shared" si="12"/>
        <v>8.5150851423696147E-3</v>
      </c>
      <c r="N84" s="71"/>
    </row>
    <row r="85" spans="2:14" s="70" customFormat="1" ht="51">
      <c r="B85" s="174" t="s">
        <v>260</v>
      </c>
      <c r="C85" s="216" t="s">
        <v>200</v>
      </c>
      <c r="D85" s="226" t="s">
        <v>40</v>
      </c>
      <c r="E85" s="226" t="s">
        <v>165</v>
      </c>
      <c r="F85" s="185">
        <v>20</v>
      </c>
      <c r="G85" s="242">
        <v>1012.3</v>
      </c>
      <c r="H85" s="186">
        <f t="shared" si="10"/>
        <v>1291.99</v>
      </c>
      <c r="I85" s="186">
        <f t="shared" si="11"/>
        <v>25839.8</v>
      </c>
      <c r="J85" s="197"/>
      <c r="K85" s="198"/>
      <c r="L85" s="194">
        <f t="shared" si="12"/>
        <v>6.4461230660233779E-2</v>
      </c>
      <c r="N85" s="71"/>
    </row>
    <row r="86" spans="2:14" s="70" customFormat="1" ht="31.5">
      <c r="B86" s="180" t="s">
        <v>277</v>
      </c>
      <c r="C86" s="234" t="s">
        <v>279</v>
      </c>
      <c r="D86" s="226" t="s">
        <v>40</v>
      </c>
      <c r="E86" s="226" t="s">
        <v>278</v>
      </c>
      <c r="F86" s="176">
        <v>2</v>
      </c>
      <c r="G86" s="243">
        <v>4957.6499999999996</v>
      </c>
      <c r="H86" s="177">
        <f t="shared" ref="H86" si="13">TRUNC(G86*$H$15+G86,2)</f>
        <v>6327.44</v>
      </c>
      <c r="I86" s="177">
        <f t="shared" ref="I86" si="14">TRUNC(H86*F86,2)</f>
        <v>12654.88</v>
      </c>
      <c r="J86" s="197"/>
      <c r="K86" s="198"/>
      <c r="L86" s="194"/>
      <c r="N86" s="71"/>
    </row>
    <row r="87" spans="2:14" s="70" customFormat="1">
      <c r="B87" s="354" t="s">
        <v>5</v>
      </c>
      <c r="C87" s="355"/>
      <c r="D87" s="355"/>
      <c r="E87" s="355"/>
      <c r="F87" s="356"/>
      <c r="G87" s="357">
        <f>(100%)</f>
        <v>1</v>
      </c>
      <c r="H87" s="358"/>
      <c r="I87" s="227">
        <f>SUM(I80:I86)</f>
        <v>46756.439999999995</v>
      </c>
      <c r="J87" s="197"/>
      <c r="K87" s="198"/>
      <c r="L87" s="194"/>
      <c r="N87" s="71"/>
    </row>
    <row r="88" spans="2:14" s="70" customFormat="1">
      <c r="B88" s="224">
        <v>13</v>
      </c>
      <c r="C88" s="225" t="s">
        <v>84</v>
      </c>
      <c r="D88" s="352"/>
      <c r="E88" s="352"/>
      <c r="F88" s="352"/>
      <c r="G88" s="352"/>
      <c r="H88" s="352"/>
      <c r="I88" s="353"/>
      <c r="J88" s="193"/>
      <c r="K88" s="193"/>
      <c r="L88" s="194"/>
      <c r="N88" s="71"/>
    </row>
    <row r="89" spans="2:14" s="70" customFormat="1" ht="25.5">
      <c r="B89" s="202" t="s">
        <v>261</v>
      </c>
      <c r="C89" s="203" t="s">
        <v>140</v>
      </c>
      <c r="D89" s="183" t="s">
        <v>40</v>
      </c>
      <c r="E89" s="184" t="s">
        <v>143</v>
      </c>
      <c r="F89" s="185">
        <v>13</v>
      </c>
      <c r="G89" s="196">
        <v>392.02</v>
      </c>
      <c r="H89" s="186">
        <f>TRUNC((G89*$H$15)+G89,2)</f>
        <v>500.33</v>
      </c>
      <c r="I89" s="186">
        <f>TRUNC(H89*F89,2)</f>
        <v>6504.29</v>
      </c>
      <c r="J89" s="193"/>
      <c r="K89" s="193"/>
      <c r="L89" s="194">
        <f>I89/$I$97</f>
        <v>1.6225920400740407E-2</v>
      </c>
      <c r="N89" s="71"/>
    </row>
    <row r="90" spans="2:14" s="70" customFormat="1" ht="25.5" customHeight="1">
      <c r="B90" s="202" t="s">
        <v>262</v>
      </c>
      <c r="C90" s="203" t="s">
        <v>183</v>
      </c>
      <c r="D90" s="183" t="s">
        <v>40</v>
      </c>
      <c r="E90" s="184">
        <v>98529</v>
      </c>
      <c r="F90" s="185">
        <v>3</v>
      </c>
      <c r="G90" s="196">
        <v>49.86</v>
      </c>
      <c r="H90" s="186">
        <f>TRUNC((G90*$H$15)+G90,2)</f>
        <v>63.63</v>
      </c>
      <c r="I90" s="186">
        <f>TRUNC(H90*F90,2)</f>
        <v>190.89</v>
      </c>
      <c r="J90" s="197">
        <v>0</v>
      </c>
      <c r="K90" s="198" t="e">
        <f>(J90*#REF!)</f>
        <v>#REF!</v>
      </c>
      <c r="L90" s="194">
        <f>I90/$I$97</f>
        <v>4.7620354339940812E-4</v>
      </c>
      <c r="N90" s="71"/>
    </row>
    <row r="91" spans="2:14" s="70" customFormat="1" ht="38.25">
      <c r="B91" s="202" t="s">
        <v>263</v>
      </c>
      <c r="C91" s="203" t="s">
        <v>208</v>
      </c>
      <c r="D91" s="183" t="s">
        <v>40</v>
      </c>
      <c r="E91" s="184" t="s">
        <v>207</v>
      </c>
      <c r="F91" s="185">
        <v>12</v>
      </c>
      <c r="G91" s="241">
        <v>163.83000000000001</v>
      </c>
      <c r="H91" s="186">
        <f>TRUNC((G91*$H$15)+G91,2)</f>
        <v>209.09</v>
      </c>
      <c r="I91" s="186">
        <f>TRUNC(H91*F91,2)</f>
        <v>2509.08</v>
      </c>
      <c r="J91" s="197"/>
      <c r="K91" s="198"/>
      <c r="L91" s="194">
        <f>I91/$I$97</f>
        <v>6.2592738575754986E-3</v>
      </c>
      <c r="N91" s="71"/>
    </row>
    <row r="92" spans="2:14" s="70" customFormat="1" ht="25.5">
      <c r="B92" s="202" t="s">
        <v>264</v>
      </c>
      <c r="C92" s="203" t="s">
        <v>212</v>
      </c>
      <c r="D92" s="183" t="s">
        <v>40</v>
      </c>
      <c r="E92" s="184">
        <v>98526</v>
      </c>
      <c r="F92" s="185">
        <v>3</v>
      </c>
      <c r="G92" s="196">
        <v>52.64</v>
      </c>
      <c r="H92" s="186">
        <f>TRUNC((G92*$H$15)+G92,2)</f>
        <v>67.180000000000007</v>
      </c>
      <c r="I92" s="186">
        <f>TRUNC(H92*F92,2)</f>
        <v>201.54</v>
      </c>
      <c r="J92" s="197"/>
      <c r="K92" s="198"/>
      <c r="L92" s="194">
        <f>I92/$I$97</f>
        <v>5.0277155501449373E-4</v>
      </c>
      <c r="N92" s="71"/>
    </row>
    <row r="93" spans="2:14" s="1" customFormat="1">
      <c r="B93" s="354" t="s">
        <v>5</v>
      </c>
      <c r="C93" s="355"/>
      <c r="D93" s="355"/>
      <c r="E93" s="355"/>
      <c r="F93" s="356"/>
      <c r="G93" s="357">
        <f>(100%)</f>
        <v>1</v>
      </c>
      <c r="H93" s="358"/>
      <c r="I93" s="227">
        <f>SUM(I89:I92)</f>
        <v>9405.8000000000011</v>
      </c>
      <c r="J93" s="200" t="e">
        <f>(K93/#REF!)</f>
        <v>#REF!</v>
      </c>
      <c r="K93" s="201" t="e">
        <f>SUM(K88:K90)</f>
        <v>#REF!</v>
      </c>
      <c r="L93" s="194"/>
      <c r="N93" s="6"/>
    </row>
    <row r="94" spans="2:14">
      <c r="B94" s="224">
        <v>14</v>
      </c>
      <c r="C94" s="228" t="s">
        <v>85</v>
      </c>
      <c r="D94" s="351"/>
      <c r="E94" s="352"/>
      <c r="F94" s="352"/>
      <c r="G94" s="352"/>
      <c r="H94" s="352"/>
      <c r="I94" s="353"/>
      <c r="J94" s="204"/>
      <c r="K94" s="204"/>
      <c r="L94" s="194"/>
    </row>
    <row r="95" spans="2:14" s="70" customFormat="1">
      <c r="B95" s="202" t="s">
        <v>265</v>
      </c>
      <c r="C95" s="203" t="s">
        <v>135</v>
      </c>
      <c r="D95" s="183" t="s">
        <v>155</v>
      </c>
      <c r="E95" s="184">
        <v>99814</v>
      </c>
      <c r="F95" s="185">
        <v>5850.35</v>
      </c>
      <c r="G95" s="196">
        <v>1.32</v>
      </c>
      <c r="H95" s="186">
        <f>TRUNC(G95*$H$15+G95,2)</f>
        <v>1.68</v>
      </c>
      <c r="I95" s="186">
        <f>TRUNC(H95*F95,2)</f>
        <v>9828.58</v>
      </c>
      <c r="J95" s="197">
        <v>0</v>
      </c>
      <c r="K95" s="198" t="e">
        <f>(J95*#REF!)</f>
        <v>#REF!</v>
      </c>
      <c r="L95" s="194">
        <f>I95/$I$97</f>
        <v>2.4518857051624258E-2</v>
      </c>
      <c r="N95" s="71"/>
    </row>
    <row r="96" spans="2:14" s="1" customFormat="1" ht="12.75" customHeight="1" thickBot="1">
      <c r="B96" s="341" t="s">
        <v>5</v>
      </c>
      <c r="C96" s="342"/>
      <c r="D96" s="342"/>
      <c r="E96" s="342"/>
      <c r="F96" s="343"/>
      <c r="G96" s="344">
        <f>(100%)</f>
        <v>1</v>
      </c>
      <c r="H96" s="345"/>
      <c r="I96" s="229">
        <f>SUM(I95:I95)</f>
        <v>9828.58</v>
      </c>
      <c r="J96" s="200" t="e">
        <f>(K96/#REF!)</f>
        <v>#REF!</v>
      </c>
      <c r="K96" s="201" t="e">
        <f>SUM(K95:K95)</f>
        <v>#REF!</v>
      </c>
      <c r="L96" s="194"/>
      <c r="N96" s="6"/>
    </row>
    <row r="97" spans="2:12" ht="15.75" customHeight="1" thickBot="1">
      <c r="B97" s="346" t="s">
        <v>43</v>
      </c>
      <c r="C97" s="347"/>
      <c r="D97" s="347"/>
      <c r="E97" s="347"/>
      <c r="F97" s="347"/>
      <c r="G97" s="347"/>
      <c r="H97" s="348"/>
      <c r="I97" s="244">
        <f>SUM(I96,I93,I87,I78,I75,I68,I62,I54,I46,I43,I36,I28,I22,I17)</f>
        <v>400858.00000000012</v>
      </c>
      <c r="J97" s="209"/>
      <c r="K97" s="209" t="s">
        <v>22</v>
      </c>
      <c r="L97" s="194"/>
    </row>
    <row r="98" spans="2:12" ht="19.5" customHeight="1">
      <c r="B98" s="338" t="s">
        <v>400</v>
      </c>
      <c r="C98" s="339"/>
      <c r="D98" s="339"/>
      <c r="E98" s="339"/>
      <c r="F98" s="339"/>
      <c r="G98" s="339"/>
      <c r="H98" s="339"/>
      <c r="I98" s="340"/>
      <c r="J98" s="205"/>
      <c r="K98" s="205"/>
      <c r="L98" s="210"/>
    </row>
    <row r="99" spans="2:12" ht="5.25" customHeight="1">
      <c r="B99" s="12"/>
      <c r="C99" s="12"/>
      <c r="D99" s="13"/>
      <c r="E99" s="14"/>
      <c r="F99" s="14"/>
      <c r="G99" s="11"/>
      <c r="H99" s="12"/>
      <c r="I99" s="12"/>
      <c r="J99" s="12"/>
      <c r="K99" s="12"/>
      <c r="L99" s="12"/>
    </row>
    <row r="100" spans="2:12">
      <c r="B100" s="12"/>
      <c r="C100" s="12"/>
      <c r="D100" s="13"/>
      <c r="E100" s="14"/>
      <c r="F100" s="14"/>
      <c r="G100" s="11"/>
      <c r="H100" s="12"/>
      <c r="I100" s="12"/>
      <c r="J100" s="12"/>
      <c r="K100" s="12"/>
      <c r="L100" s="12"/>
    </row>
    <row r="101" spans="2:12">
      <c r="B101" s="12"/>
      <c r="C101" s="12"/>
      <c r="D101" s="13"/>
      <c r="E101" s="14"/>
      <c r="F101" s="14"/>
      <c r="G101" s="11"/>
      <c r="H101" s="12"/>
      <c r="I101" s="12"/>
      <c r="J101" s="12"/>
      <c r="K101" s="12"/>
      <c r="L101" s="12"/>
    </row>
    <row r="102" spans="2:12">
      <c r="B102" s="12"/>
      <c r="C102" s="12"/>
      <c r="D102" s="13"/>
      <c r="E102" s="14"/>
      <c r="F102" s="14"/>
      <c r="G102" s="11"/>
      <c r="H102" s="12"/>
      <c r="I102" s="12"/>
      <c r="J102" s="12"/>
      <c r="K102" s="12"/>
      <c r="L102" s="12"/>
    </row>
    <row r="103" spans="2:12">
      <c r="B103" s="12"/>
      <c r="C103" s="12"/>
      <c r="D103" s="13"/>
      <c r="E103" s="14"/>
      <c r="F103" s="14"/>
      <c r="G103" s="11"/>
      <c r="H103" s="12"/>
      <c r="I103" s="12"/>
      <c r="J103" s="12"/>
      <c r="K103" s="12"/>
      <c r="L103" s="12"/>
    </row>
    <row r="104" spans="2:12">
      <c r="B104" s="12"/>
      <c r="C104" s="12"/>
      <c r="D104" s="13"/>
      <c r="E104" s="14"/>
      <c r="F104" s="14"/>
      <c r="G104" s="11"/>
      <c r="H104" s="12"/>
      <c r="I104" s="12"/>
      <c r="J104" s="12"/>
      <c r="K104" s="12"/>
      <c r="L104" s="12"/>
    </row>
    <row r="105" spans="2:12">
      <c r="B105" s="12"/>
      <c r="C105" s="12"/>
      <c r="D105" s="13"/>
      <c r="E105" s="14"/>
      <c r="F105" s="14"/>
      <c r="G105" s="11"/>
      <c r="H105" s="12"/>
      <c r="I105" s="12"/>
      <c r="J105" s="12"/>
      <c r="K105" s="12"/>
      <c r="L105" s="12"/>
    </row>
    <row r="106" spans="2:12">
      <c r="B106" s="12"/>
      <c r="C106" s="12"/>
      <c r="D106" s="13"/>
      <c r="E106" s="14"/>
      <c r="F106" s="14"/>
      <c r="G106" s="11"/>
      <c r="H106" s="12"/>
      <c r="I106" s="12"/>
      <c r="J106" s="12"/>
      <c r="K106" s="12"/>
      <c r="L106" s="12"/>
    </row>
    <row r="107" spans="2:12">
      <c r="B107" s="12"/>
      <c r="C107" s="12"/>
      <c r="D107" s="13"/>
      <c r="E107" s="14"/>
      <c r="F107" s="14"/>
      <c r="G107" s="11"/>
      <c r="H107" s="12"/>
      <c r="I107" s="12"/>
      <c r="J107" s="12"/>
      <c r="K107" s="12"/>
      <c r="L107" s="12"/>
    </row>
    <row r="108" spans="2:12">
      <c r="B108" s="12"/>
      <c r="C108" s="12"/>
      <c r="D108" s="13"/>
      <c r="E108" s="14"/>
      <c r="F108" s="14"/>
      <c r="G108" s="11"/>
      <c r="H108" s="12"/>
      <c r="I108" s="12"/>
    </row>
  </sheetData>
  <mergeCells count="70">
    <mergeCell ref="B98:I98"/>
    <mergeCell ref="B96:F96"/>
    <mergeCell ref="G96:H96"/>
    <mergeCell ref="B97:H97"/>
    <mergeCell ref="D69:I69"/>
    <mergeCell ref="G75:H75"/>
    <mergeCell ref="B75:F75"/>
    <mergeCell ref="D94:I94"/>
    <mergeCell ref="D79:I79"/>
    <mergeCell ref="D88:I88"/>
    <mergeCell ref="B93:F93"/>
    <mergeCell ref="G93:H93"/>
    <mergeCell ref="B87:F87"/>
    <mergeCell ref="G87:H87"/>
    <mergeCell ref="B78:F78"/>
    <mergeCell ref="G78:H78"/>
    <mergeCell ref="B2:I2"/>
    <mergeCell ref="D23:I23"/>
    <mergeCell ref="B11:I11"/>
    <mergeCell ref="B12:B14"/>
    <mergeCell ref="G12:I13"/>
    <mergeCell ref="B5:I5"/>
    <mergeCell ref="B6:I6"/>
    <mergeCell ref="J15:K15"/>
    <mergeCell ref="B3:I3"/>
    <mergeCell ref="B7:G7"/>
    <mergeCell ref="H7:I7"/>
    <mergeCell ref="J7:K7"/>
    <mergeCell ref="F12:F14"/>
    <mergeCell ref="D12:D14"/>
    <mergeCell ref="N18:P18"/>
    <mergeCell ref="J18:K18"/>
    <mergeCell ref="J8:K8"/>
    <mergeCell ref="B9:I9"/>
    <mergeCell ref="B8:I8"/>
    <mergeCell ref="J10:K10"/>
    <mergeCell ref="B10:G10"/>
    <mergeCell ref="H10:I10"/>
    <mergeCell ref="E12:E14"/>
    <mergeCell ref="N15:P15"/>
    <mergeCell ref="N16:P16"/>
    <mergeCell ref="B17:F17"/>
    <mergeCell ref="G17:H17"/>
    <mergeCell ref="J12:K12"/>
    <mergeCell ref="C12:C14"/>
    <mergeCell ref="J13:K13"/>
    <mergeCell ref="D76:I76"/>
    <mergeCell ref="N19:P19"/>
    <mergeCell ref="G28:H28"/>
    <mergeCell ref="G68:H68"/>
    <mergeCell ref="D63:I63"/>
    <mergeCell ref="B68:F68"/>
    <mergeCell ref="G22:H22"/>
    <mergeCell ref="B22:F22"/>
    <mergeCell ref="B28:F28"/>
    <mergeCell ref="D29:I29"/>
    <mergeCell ref="B36:F36"/>
    <mergeCell ref="G36:H36"/>
    <mergeCell ref="D37:I37"/>
    <mergeCell ref="B43:F43"/>
    <mergeCell ref="G43:H43"/>
    <mergeCell ref="D44:I44"/>
    <mergeCell ref="D55:I55"/>
    <mergeCell ref="B62:F62"/>
    <mergeCell ref="G62:H62"/>
    <mergeCell ref="B46:F46"/>
    <mergeCell ref="G46:H46"/>
    <mergeCell ref="D47:I47"/>
    <mergeCell ref="B54:F54"/>
    <mergeCell ref="G54:H54"/>
  </mergeCells>
  <phoneticPr fontId="0" type="noConversion"/>
  <conditionalFormatting sqref="L13:L97">
    <cfRule type="colorScale" priority="4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rintOptions horizontalCentered="1"/>
  <pageMargins left="0.59055118110236227" right="0.59055118110236227" top="0.59055118110236227" bottom="0.59055118110236227" header="0.27559055118110237" footer="0.31496062992125984"/>
  <pageSetup paperSize="9" scale="95" fitToWidth="5" fitToHeight="6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4"/>
  <dimension ref="A1:I58"/>
  <sheetViews>
    <sheetView showGridLines="0" workbookViewId="0">
      <selection activeCell="B4" sqref="B4:E4"/>
    </sheetView>
  </sheetViews>
  <sheetFormatPr defaultColWidth="11.42578125" defaultRowHeight="12.75"/>
  <cols>
    <col min="1" max="1" width="0.7109375" style="10" customWidth="1"/>
    <col min="2" max="2" width="10.140625" style="10" customWidth="1"/>
    <col min="3" max="3" width="45.140625" style="10" customWidth="1"/>
    <col min="4" max="4" width="7.85546875" style="10" customWidth="1"/>
    <col min="5" max="5" width="20.85546875" style="10" customWidth="1"/>
    <col min="6" max="6" width="0.7109375" style="10" customWidth="1"/>
    <col min="7" max="16384" width="11.42578125" style="10"/>
  </cols>
  <sheetData>
    <row r="1" spans="1:6" ht="16.5" customHeight="1"/>
    <row r="2" spans="1:6" ht="19.5" customHeight="1" thickBot="1">
      <c r="B2" s="15"/>
      <c r="C2" s="15"/>
      <c r="D2" s="15"/>
      <c r="E2" s="15"/>
    </row>
    <row r="3" spans="1:6" ht="24" customHeight="1">
      <c r="A3" s="110"/>
      <c r="B3" s="388" t="s">
        <v>13</v>
      </c>
      <c r="C3" s="389"/>
      <c r="D3" s="389"/>
      <c r="E3" s="390"/>
      <c r="F3" s="111"/>
    </row>
    <row r="4" spans="1:6" ht="33.75" customHeight="1">
      <c r="A4" s="112"/>
      <c r="B4" s="391" t="str">
        <f>Orçamento!B5:I5</f>
        <v xml:space="preserve">            Reforma da Praça Vanildo Cordeiro de Souza</v>
      </c>
      <c r="C4" s="392"/>
      <c r="D4" s="392"/>
      <c r="E4" s="393"/>
      <c r="F4" s="113"/>
    </row>
    <row r="5" spans="1:6" ht="24" customHeight="1">
      <c r="A5" s="112"/>
      <c r="B5" s="373" t="str">
        <f>Orçamento!B6:I6</f>
        <v>Praça Vanildo Cordeiro de Souza - Centro                                                                                                                                         Coordenadas Geográficas da Obra: Latitude 14°48'13.50"S - Longitude 53°36'35.40"O</v>
      </c>
      <c r="C5" s="374"/>
      <c r="D5" s="374"/>
      <c r="E5" s="375"/>
      <c r="F5" s="113"/>
    </row>
    <row r="6" spans="1:6" ht="21" customHeight="1" thickBot="1">
      <c r="A6" s="112"/>
      <c r="B6" s="376" t="str">
        <f>Orçamento!H10</f>
        <v>DATA:08/11/2019</v>
      </c>
      <c r="C6" s="377"/>
      <c r="D6" s="17"/>
      <c r="E6" s="56" t="str">
        <f>Orçamento!H7</f>
        <v>B.D.I: 27,63%</v>
      </c>
      <c r="F6" s="114"/>
    </row>
    <row r="7" spans="1:6" ht="6.75" customHeight="1">
      <c r="A7" s="112"/>
      <c r="B7" s="20"/>
      <c r="C7" s="21"/>
      <c r="D7" s="21"/>
      <c r="E7" s="21"/>
      <c r="F7" s="113"/>
    </row>
    <row r="8" spans="1:6">
      <c r="A8" s="112"/>
      <c r="B8" s="394" t="s">
        <v>14</v>
      </c>
      <c r="C8" s="394" t="s">
        <v>7</v>
      </c>
      <c r="D8" s="394" t="s">
        <v>8</v>
      </c>
      <c r="E8" s="58" t="s">
        <v>9</v>
      </c>
      <c r="F8" s="113"/>
    </row>
    <row r="9" spans="1:6">
      <c r="A9" s="112"/>
      <c r="B9" s="395"/>
      <c r="C9" s="395"/>
      <c r="D9" s="395"/>
      <c r="E9" s="59" t="s">
        <v>10</v>
      </c>
      <c r="F9" s="113"/>
    </row>
    <row r="10" spans="1:6">
      <c r="A10" s="112"/>
      <c r="B10" s="381">
        <v>1</v>
      </c>
      <c r="C10" s="363" t="s">
        <v>44</v>
      </c>
      <c r="D10" s="359">
        <f>E10/E51</f>
        <v>1.7543131090483773E-2</v>
      </c>
      <c r="E10" s="383">
        <v>6995.65</v>
      </c>
      <c r="F10" s="113"/>
    </row>
    <row r="11" spans="1:6">
      <c r="A11" s="112"/>
      <c r="B11" s="382"/>
      <c r="C11" s="366"/>
      <c r="D11" s="360"/>
      <c r="E11" s="384"/>
      <c r="F11" s="113"/>
    </row>
    <row r="12" spans="1:6">
      <c r="A12" s="112"/>
      <c r="B12" s="370">
        <v>2</v>
      </c>
      <c r="C12" s="364" t="s">
        <v>4</v>
      </c>
      <c r="D12" s="359">
        <f>E12/E51</f>
        <v>0.12480297784722824</v>
      </c>
      <c r="E12" s="371">
        <v>49767.51</v>
      </c>
      <c r="F12" s="113"/>
    </row>
    <row r="13" spans="1:6">
      <c r="A13" s="112"/>
      <c r="B13" s="370"/>
      <c r="C13" s="364"/>
      <c r="D13" s="360"/>
      <c r="E13" s="371"/>
      <c r="F13" s="113"/>
    </row>
    <row r="14" spans="1:6" ht="5.25" hidden="1" customHeight="1">
      <c r="A14" s="112"/>
      <c r="B14" s="382"/>
      <c r="C14" s="366"/>
      <c r="D14" s="359">
        <f>E14/E51</f>
        <v>0</v>
      </c>
      <c r="E14" s="372"/>
      <c r="F14" s="113"/>
    </row>
    <row r="15" spans="1:6">
      <c r="A15" s="112"/>
      <c r="B15" s="381">
        <v>3</v>
      </c>
      <c r="C15" s="363" t="s">
        <v>101</v>
      </c>
      <c r="D15" s="361"/>
      <c r="E15" s="378">
        <v>13478.6</v>
      </c>
      <c r="F15" s="113"/>
    </row>
    <row r="16" spans="1:6">
      <c r="A16" s="112"/>
      <c r="B16" s="370"/>
      <c r="C16" s="364"/>
      <c r="D16" s="361"/>
      <c r="E16" s="379"/>
      <c r="F16" s="113"/>
    </row>
    <row r="17" spans="1:9" ht="3.75" customHeight="1">
      <c r="A17" s="112"/>
      <c r="B17" s="382"/>
      <c r="C17" s="366"/>
      <c r="D17" s="360"/>
      <c r="E17" s="380"/>
      <c r="F17" s="113"/>
    </row>
    <row r="18" spans="1:9">
      <c r="A18" s="112"/>
      <c r="B18" s="381">
        <v>4</v>
      </c>
      <c r="C18" s="363" t="s">
        <v>226</v>
      </c>
      <c r="D18" s="368">
        <f>E18/E51</f>
        <v>9.0825102808367985E-3</v>
      </c>
      <c r="E18" s="378">
        <v>3621.82</v>
      </c>
      <c r="F18" s="113"/>
    </row>
    <row r="19" spans="1:9">
      <c r="A19" s="112"/>
      <c r="B19" s="370"/>
      <c r="C19" s="364"/>
      <c r="D19" s="368"/>
      <c r="E19" s="379"/>
      <c r="F19" s="113"/>
    </row>
    <row r="20" spans="1:9" ht="3.75" customHeight="1">
      <c r="A20" s="112"/>
      <c r="B20" s="382"/>
      <c r="C20" s="366"/>
      <c r="D20" s="369"/>
      <c r="E20" s="380"/>
      <c r="F20" s="113"/>
    </row>
    <row r="21" spans="1:9">
      <c r="A21" s="112"/>
      <c r="B21" s="381">
        <v>5</v>
      </c>
      <c r="C21" s="363" t="s">
        <v>234</v>
      </c>
      <c r="D21" s="367">
        <f>E21/E51</f>
        <v>1.7266554656847236E-2</v>
      </c>
      <c r="E21" s="378">
        <v>6885.36</v>
      </c>
      <c r="F21" s="113"/>
    </row>
    <row r="22" spans="1:9">
      <c r="A22" s="112"/>
      <c r="B22" s="370"/>
      <c r="C22" s="364"/>
      <c r="D22" s="368"/>
      <c r="E22" s="379"/>
      <c r="F22" s="113"/>
      <c r="I22" s="50"/>
    </row>
    <row r="23" spans="1:9" ht="4.5" customHeight="1">
      <c r="A23" s="112"/>
      <c r="B23" s="382"/>
      <c r="C23" s="366"/>
      <c r="D23" s="369"/>
      <c r="E23" s="380"/>
      <c r="F23" s="113"/>
    </row>
    <row r="24" spans="1:9" ht="13.5" customHeight="1">
      <c r="A24" s="112"/>
      <c r="B24" s="381">
        <v>6</v>
      </c>
      <c r="C24" s="363" t="s">
        <v>236</v>
      </c>
      <c r="D24" s="367">
        <f>E24/E51</f>
        <v>4.8112613477775991E-3</v>
      </c>
      <c r="E24" s="378">
        <v>1918.58</v>
      </c>
      <c r="F24" s="113"/>
    </row>
    <row r="25" spans="1:9">
      <c r="A25" s="112"/>
      <c r="B25" s="370"/>
      <c r="C25" s="364"/>
      <c r="D25" s="368"/>
      <c r="E25" s="379"/>
      <c r="F25" s="113"/>
    </row>
    <row r="26" spans="1:9" ht="5.25" customHeight="1">
      <c r="A26" s="112"/>
      <c r="B26" s="370"/>
      <c r="C26" s="366"/>
      <c r="D26" s="369"/>
      <c r="E26" s="380"/>
      <c r="F26" s="113"/>
    </row>
    <row r="27" spans="1:9">
      <c r="A27" s="112"/>
      <c r="B27" s="385">
        <v>7</v>
      </c>
      <c r="C27" s="363" t="s">
        <v>243</v>
      </c>
      <c r="D27" s="396">
        <f>E27/E51</f>
        <v>3.295507637875509E-2</v>
      </c>
      <c r="E27" s="378">
        <v>13141.45</v>
      </c>
      <c r="F27" s="113"/>
    </row>
    <row r="28" spans="1:9">
      <c r="A28" s="112"/>
      <c r="B28" s="386"/>
      <c r="C28" s="364"/>
      <c r="D28" s="397"/>
      <c r="E28" s="379"/>
      <c r="F28" s="113"/>
    </row>
    <row r="29" spans="1:9" ht="6" customHeight="1">
      <c r="A29" s="112"/>
      <c r="B29" s="387"/>
      <c r="C29" s="366"/>
      <c r="D29" s="398"/>
      <c r="E29" s="380"/>
      <c r="F29" s="113"/>
    </row>
    <row r="30" spans="1:9">
      <c r="A30" s="112"/>
      <c r="B30" s="95"/>
      <c r="C30" s="363" t="s">
        <v>266</v>
      </c>
      <c r="D30" s="367">
        <f>E30/E51</f>
        <v>3.1314124750190339E-2</v>
      </c>
      <c r="E30" s="378">
        <v>12487.09</v>
      </c>
      <c r="F30" s="113"/>
    </row>
    <row r="31" spans="1:9" ht="11.25" customHeight="1">
      <c r="A31" s="112"/>
      <c r="B31" s="97">
        <v>8</v>
      </c>
      <c r="C31" s="364"/>
      <c r="D31" s="368"/>
      <c r="E31" s="379"/>
      <c r="F31" s="113"/>
    </row>
    <row r="32" spans="1:9" ht="6.75" customHeight="1">
      <c r="A32" s="112"/>
      <c r="B32" s="96"/>
      <c r="C32" s="366"/>
      <c r="D32" s="369"/>
      <c r="E32" s="380"/>
      <c r="F32" s="113"/>
    </row>
    <row r="33" spans="1:6">
      <c r="A33" s="112"/>
      <c r="B33" s="370">
        <v>9</v>
      </c>
      <c r="C33" s="363" t="s">
        <v>102</v>
      </c>
      <c r="D33" s="365">
        <f>E33/E51</f>
        <v>0.36699679044446354</v>
      </c>
      <c r="E33" s="378">
        <v>146346.80000000002</v>
      </c>
      <c r="F33" s="113"/>
    </row>
    <row r="34" spans="1:6">
      <c r="A34" s="112"/>
      <c r="B34" s="370"/>
      <c r="C34" s="364"/>
      <c r="D34" s="365"/>
      <c r="E34" s="379"/>
      <c r="F34" s="113"/>
    </row>
    <row r="35" spans="1:6">
      <c r="A35" s="112"/>
      <c r="B35" s="370"/>
      <c r="C35" s="364"/>
      <c r="D35" s="365"/>
      <c r="E35" s="380"/>
      <c r="F35" s="113"/>
    </row>
    <row r="36" spans="1:6">
      <c r="A36" s="112"/>
      <c r="B36" s="362">
        <v>10</v>
      </c>
      <c r="C36" s="363" t="s">
        <v>25</v>
      </c>
      <c r="D36" s="365">
        <f>E36/E51</f>
        <v>0.19412764209299219</v>
      </c>
      <c r="E36" s="378">
        <v>77412.009999999995</v>
      </c>
      <c r="F36" s="113"/>
    </row>
    <row r="37" spans="1:6">
      <c r="A37" s="112"/>
      <c r="B37" s="362"/>
      <c r="C37" s="364"/>
      <c r="D37" s="365"/>
      <c r="E37" s="379"/>
      <c r="F37" s="113"/>
    </row>
    <row r="38" spans="1:6">
      <c r="A38" s="112"/>
      <c r="B38" s="362"/>
      <c r="C38" s="364"/>
      <c r="D38" s="365"/>
      <c r="E38" s="380"/>
      <c r="F38" s="113"/>
    </row>
    <row r="39" spans="1:6">
      <c r="A39" s="112"/>
      <c r="B39" s="362">
        <v>11</v>
      </c>
      <c r="C39" s="363" t="s">
        <v>194</v>
      </c>
      <c r="D39" s="365">
        <f>E39/E51</f>
        <v>1.8128809085549635E-3</v>
      </c>
      <c r="E39" s="378">
        <v>722.92</v>
      </c>
      <c r="F39" s="113"/>
    </row>
    <row r="40" spans="1:6">
      <c r="A40" s="112"/>
      <c r="B40" s="362"/>
      <c r="C40" s="364"/>
      <c r="D40" s="365"/>
      <c r="E40" s="379"/>
      <c r="F40" s="113"/>
    </row>
    <row r="41" spans="1:6">
      <c r="A41" s="112"/>
      <c r="B41" s="362"/>
      <c r="C41" s="364"/>
      <c r="D41" s="365"/>
      <c r="E41" s="380"/>
      <c r="F41" s="113"/>
    </row>
    <row r="42" spans="1:6">
      <c r="A42" s="112"/>
      <c r="B42" s="362">
        <v>12</v>
      </c>
      <c r="C42" s="401" t="s">
        <v>28</v>
      </c>
      <c r="D42" s="365">
        <f>E42/E51</f>
        <v>0.11725205752779787</v>
      </c>
      <c r="E42" s="378">
        <v>46756.439999999995</v>
      </c>
      <c r="F42" s="113"/>
    </row>
    <row r="43" spans="1:6">
      <c r="A43" s="112"/>
      <c r="B43" s="362"/>
      <c r="C43" s="402"/>
      <c r="D43" s="365"/>
      <c r="E43" s="379"/>
      <c r="F43" s="113"/>
    </row>
    <row r="44" spans="1:6">
      <c r="A44" s="112"/>
      <c r="B44" s="362"/>
      <c r="C44" s="403"/>
      <c r="D44" s="365"/>
      <c r="E44" s="380"/>
      <c r="F44" s="113"/>
    </row>
    <row r="45" spans="1:6">
      <c r="A45" s="112"/>
      <c r="B45" s="362">
        <v>13</v>
      </c>
      <c r="C45" s="401" t="s">
        <v>84</v>
      </c>
      <c r="D45" s="365">
        <f>E45/E51</f>
        <v>2.3587112335647482E-2</v>
      </c>
      <c r="E45" s="378">
        <v>9405.8000000000011</v>
      </c>
      <c r="F45" s="113"/>
    </row>
    <row r="46" spans="1:6">
      <c r="A46" s="112"/>
      <c r="B46" s="362"/>
      <c r="C46" s="402"/>
      <c r="D46" s="365"/>
      <c r="E46" s="379"/>
      <c r="F46" s="113"/>
    </row>
    <row r="47" spans="1:6">
      <c r="A47" s="112"/>
      <c r="B47" s="362"/>
      <c r="C47" s="403"/>
      <c r="D47" s="365"/>
      <c r="E47" s="380"/>
      <c r="F47" s="113"/>
    </row>
    <row r="48" spans="1:6">
      <c r="A48" s="112"/>
      <c r="B48" s="362">
        <v>14</v>
      </c>
      <c r="C48" s="363" t="s">
        <v>85</v>
      </c>
      <c r="D48" s="365">
        <f>E48/E51</f>
        <v>2.4647326177454135E-2</v>
      </c>
      <c r="E48" s="378">
        <v>9828.58</v>
      </c>
      <c r="F48" s="113"/>
    </row>
    <row r="49" spans="1:6">
      <c r="A49" s="112"/>
      <c r="B49" s="362"/>
      <c r="C49" s="364"/>
      <c r="D49" s="365"/>
      <c r="E49" s="379"/>
      <c r="F49" s="113"/>
    </row>
    <row r="50" spans="1:6">
      <c r="A50" s="112"/>
      <c r="B50" s="362"/>
      <c r="C50" s="366"/>
      <c r="D50" s="365"/>
      <c r="E50" s="380"/>
      <c r="F50" s="113"/>
    </row>
    <row r="51" spans="1:6" ht="13.5" thickBot="1">
      <c r="A51" s="115"/>
      <c r="B51" s="399" t="s">
        <v>12</v>
      </c>
      <c r="C51" s="400"/>
      <c r="D51" s="118">
        <v>1</v>
      </c>
      <c r="E51" s="119">
        <f>SUM(E10:E50)</f>
        <v>398768.61000000004</v>
      </c>
      <c r="F51" s="116"/>
    </row>
    <row r="52" spans="1:6" ht="3" customHeight="1" thickBot="1">
      <c r="A52" s="115"/>
      <c r="B52" s="17"/>
      <c r="C52" s="17"/>
      <c r="D52" s="17"/>
      <c r="E52" s="17"/>
      <c r="F52" s="116"/>
    </row>
    <row r="53" spans="1:6">
      <c r="B53" s="15"/>
      <c r="C53" s="47"/>
      <c r="D53" s="47"/>
      <c r="E53" s="47"/>
    </row>
    <row r="54" spans="1:6">
      <c r="B54" s="15"/>
      <c r="C54" s="15"/>
      <c r="D54" s="15"/>
      <c r="E54" s="15"/>
    </row>
    <row r="55" spans="1:6">
      <c r="D55" s="16"/>
      <c r="E55" s="16"/>
    </row>
    <row r="56" spans="1:6">
      <c r="D56" s="16"/>
      <c r="E56" s="48"/>
    </row>
    <row r="57" spans="1:6">
      <c r="D57" s="16"/>
      <c r="E57" s="48"/>
    </row>
    <row r="58" spans="1:6">
      <c r="E58" s="49"/>
    </row>
  </sheetData>
  <mergeCells count="63">
    <mergeCell ref="E33:E35"/>
    <mergeCell ref="B51:C51"/>
    <mergeCell ref="B42:B44"/>
    <mergeCell ref="C42:C44"/>
    <mergeCell ref="D42:D44"/>
    <mergeCell ref="E42:E44"/>
    <mergeCell ref="B45:B47"/>
    <mergeCell ref="C45:C47"/>
    <mergeCell ref="D45:D47"/>
    <mergeCell ref="E39:E41"/>
    <mergeCell ref="E45:E47"/>
    <mergeCell ref="B48:B50"/>
    <mergeCell ref="C48:C50"/>
    <mergeCell ref="D48:D50"/>
    <mergeCell ref="E48:E50"/>
    <mergeCell ref="E21:E23"/>
    <mergeCell ref="B24:B26"/>
    <mergeCell ref="C24:C26"/>
    <mergeCell ref="D24:D26"/>
    <mergeCell ref="D27:D29"/>
    <mergeCell ref="B3:E3"/>
    <mergeCell ref="E24:E26"/>
    <mergeCell ref="B15:B17"/>
    <mergeCell ref="C15:C17"/>
    <mergeCell ref="E15:E17"/>
    <mergeCell ref="B18:B20"/>
    <mergeCell ref="C18:C20"/>
    <mergeCell ref="D18:D20"/>
    <mergeCell ref="E18:E20"/>
    <mergeCell ref="B4:E4"/>
    <mergeCell ref="B8:B9"/>
    <mergeCell ref="C8:C9"/>
    <mergeCell ref="D8:D9"/>
    <mergeCell ref="B12:B14"/>
    <mergeCell ref="C12:C14"/>
    <mergeCell ref="B21:B23"/>
    <mergeCell ref="E12:E14"/>
    <mergeCell ref="B5:E5"/>
    <mergeCell ref="B6:C6"/>
    <mergeCell ref="D36:D38"/>
    <mergeCell ref="E36:E38"/>
    <mergeCell ref="B36:B38"/>
    <mergeCell ref="C36:C38"/>
    <mergeCell ref="B10:B11"/>
    <mergeCell ref="C10:C11"/>
    <mergeCell ref="D10:D11"/>
    <mergeCell ref="E10:E11"/>
    <mergeCell ref="B27:B29"/>
    <mergeCell ref="C27:C29"/>
    <mergeCell ref="E27:E29"/>
    <mergeCell ref="D30:D32"/>
    <mergeCell ref="E30:E32"/>
    <mergeCell ref="D12:D13"/>
    <mergeCell ref="D14:D17"/>
    <mergeCell ref="B39:B41"/>
    <mergeCell ref="C39:C41"/>
    <mergeCell ref="D39:D41"/>
    <mergeCell ref="C21:C23"/>
    <mergeCell ref="D21:D23"/>
    <mergeCell ref="C30:C32"/>
    <mergeCell ref="B33:B35"/>
    <mergeCell ref="C33:C35"/>
    <mergeCell ref="D33:D35"/>
  </mergeCells>
  <printOptions horizontalCentered="1"/>
  <pageMargins left="0.59055118110236227" right="0.59055118110236227" top="0.78740157480314965" bottom="0.78740157480314965" header="0" footer="0"/>
  <pageSetup paperSize="9" scale="9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7"/>
  <dimension ref="A1:J60"/>
  <sheetViews>
    <sheetView showGridLines="0" view="pageBreakPreview" zoomScaleSheetLayoutView="100" workbookViewId="0">
      <selection activeCell="B5" sqref="B5:I5"/>
    </sheetView>
  </sheetViews>
  <sheetFormatPr defaultColWidth="11.42578125" defaultRowHeight="12.75"/>
  <cols>
    <col min="1" max="1" width="0.7109375" style="10" customWidth="1"/>
    <col min="2" max="2" width="8.28515625" style="10" customWidth="1"/>
    <col min="3" max="3" width="48.5703125" style="10" customWidth="1"/>
    <col min="4" max="4" width="8" style="10" customWidth="1"/>
    <col min="5" max="5" width="14" style="10" customWidth="1"/>
    <col min="6" max="6" width="11" style="10" customWidth="1"/>
    <col min="7" max="7" width="10.28515625" style="10" customWidth="1"/>
    <col min="8" max="8" width="10" style="10" customWidth="1"/>
    <col min="9" max="9" width="9.85546875" style="10" customWidth="1"/>
    <col min="10" max="10" width="0.7109375" style="10" customWidth="1"/>
    <col min="11" max="16384" width="11.42578125" style="10"/>
  </cols>
  <sheetData>
    <row r="1" spans="1:10" ht="3.75" customHeight="1" thickBot="1">
      <c r="A1" s="110"/>
      <c r="B1" s="117"/>
      <c r="C1" s="117"/>
      <c r="D1" s="117"/>
      <c r="E1" s="117"/>
      <c r="F1" s="117"/>
      <c r="G1" s="117"/>
      <c r="H1" s="117"/>
      <c r="I1" s="117"/>
      <c r="J1" s="111"/>
    </row>
    <row r="2" spans="1:10">
      <c r="A2" s="112"/>
      <c r="B2" s="411" t="s">
        <v>6</v>
      </c>
      <c r="C2" s="412"/>
      <c r="D2" s="412"/>
      <c r="E2" s="412"/>
      <c r="F2" s="412"/>
      <c r="G2" s="412"/>
      <c r="H2" s="412"/>
      <c r="I2" s="413"/>
      <c r="J2" s="113"/>
    </row>
    <row r="3" spans="1:10">
      <c r="A3" s="112"/>
      <c r="B3" s="414"/>
      <c r="C3" s="415"/>
      <c r="D3" s="415"/>
      <c r="E3" s="415"/>
      <c r="F3" s="415"/>
      <c r="G3" s="415"/>
      <c r="H3" s="415"/>
      <c r="I3" s="416"/>
      <c r="J3" s="113"/>
    </row>
    <row r="4" spans="1:10" ht="20.25" customHeight="1">
      <c r="A4" s="112"/>
      <c r="B4" s="418" t="str">
        <f>Orçamento!B5:K5</f>
        <v xml:space="preserve">            Reforma da Praça Vanildo Cordeiro de Souza</v>
      </c>
      <c r="C4" s="419"/>
      <c r="D4" s="419"/>
      <c r="E4" s="419"/>
      <c r="F4" s="419"/>
      <c r="G4" s="419"/>
      <c r="H4" s="419"/>
      <c r="I4" s="420"/>
      <c r="J4" s="113"/>
    </row>
    <row r="5" spans="1:10" ht="41.25" customHeight="1">
      <c r="A5" s="112"/>
      <c r="B5" s="421" t="str">
        <f>Orçamento!B6:K6</f>
        <v>Praça Vanildo Cordeiro de Souza - Centro                                                                                                                                         Coordenadas Geográficas da Obra: Latitude 14°48'13.50"S - Longitude 53°36'35.40"O</v>
      </c>
      <c r="C5" s="422"/>
      <c r="D5" s="422"/>
      <c r="E5" s="422"/>
      <c r="F5" s="422"/>
      <c r="G5" s="422"/>
      <c r="H5" s="422"/>
      <c r="I5" s="423"/>
      <c r="J5" s="113"/>
    </row>
    <row r="6" spans="1:10" ht="17.100000000000001" customHeight="1" thickBot="1">
      <c r="A6" s="112"/>
      <c r="B6" s="376" t="str">
        <f>Orçamento!H10</f>
        <v>DATA:08/11/2019</v>
      </c>
      <c r="C6" s="377"/>
      <c r="D6" s="17"/>
      <c r="E6" s="17"/>
      <c r="F6" s="18"/>
      <c r="G6" s="19"/>
      <c r="H6" s="424" t="s">
        <v>41</v>
      </c>
      <c r="I6" s="425"/>
      <c r="J6" s="113"/>
    </row>
    <row r="7" spans="1:10" ht="17.100000000000001" customHeight="1">
      <c r="A7" s="112"/>
      <c r="B7" s="20"/>
      <c r="C7" s="21"/>
      <c r="D7" s="21"/>
      <c r="E7" s="21"/>
      <c r="F7" s="21"/>
      <c r="G7" s="21"/>
      <c r="H7" s="21"/>
      <c r="I7" s="21"/>
      <c r="J7" s="113"/>
    </row>
    <row r="8" spans="1:10">
      <c r="A8" s="112"/>
      <c r="B8" s="394" t="s">
        <v>0</v>
      </c>
      <c r="C8" s="394" t="s">
        <v>7</v>
      </c>
      <c r="D8" s="394" t="s">
        <v>8</v>
      </c>
      <c r="E8" s="22" t="s">
        <v>9</v>
      </c>
      <c r="F8" s="394" t="s">
        <v>15</v>
      </c>
      <c r="G8" s="394" t="s">
        <v>16</v>
      </c>
      <c r="H8" s="394" t="s">
        <v>17</v>
      </c>
      <c r="I8" s="394" t="s">
        <v>18</v>
      </c>
      <c r="J8" s="113"/>
    </row>
    <row r="9" spans="1:10">
      <c r="A9" s="112"/>
      <c r="B9" s="417"/>
      <c r="C9" s="417"/>
      <c r="D9" s="417"/>
      <c r="E9" s="22" t="s">
        <v>10</v>
      </c>
      <c r="F9" s="417"/>
      <c r="G9" s="417"/>
      <c r="H9" s="417"/>
      <c r="I9" s="417"/>
      <c r="J9" s="113"/>
    </row>
    <row r="10" spans="1:10">
      <c r="A10" s="112"/>
      <c r="B10" s="381">
        <v>1</v>
      </c>
      <c r="C10" s="363" t="s">
        <v>44</v>
      </c>
      <c r="D10" s="365">
        <f>E10/$E$53+0.00001</f>
        <v>1.7553131090483773E-2</v>
      </c>
      <c r="E10" s="404">
        <v>6995.65</v>
      </c>
      <c r="F10" s="23"/>
      <c r="G10" s="23"/>
      <c r="H10" s="23"/>
      <c r="I10" s="23"/>
      <c r="J10" s="113"/>
    </row>
    <row r="11" spans="1:10">
      <c r="A11" s="112"/>
      <c r="B11" s="370"/>
      <c r="C11" s="364"/>
      <c r="D11" s="365"/>
      <c r="E11" s="371"/>
      <c r="F11" s="25">
        <v>0.25</v>
      </c>
      <c r="G11" s="25">
        <v>0.25</v>
      </c>
      <c r="H11" s="25">
        <v>0.25</v>
      </c>
      <c r="I11" s="26">
        <v>0.25</v>
      </c>
      <c r="J11" s="113"/>
    </row>
    <row r="12" spans="1:10">
      <c r="A12" s="112"/>
      <c r="B12" s="382"/>
      <c r="C12" s="366"/>
      <c r="D12" s="365"/>
      <c r="E12" s="372"/>
      <c r="F12" s="27">
        <f>(F11*E10)</f>
        <v>1748.9124999999999</v>
      </c>
      <c r="G12" s="27">
        <f>(G11*E10)</f>
        <v>1748.9124999999999</v>
      </c>
      <c r="H12" s="27">
        <f>(H11*E10)</f>
        <v>1748.9124999999999</v>
      </c>
      <c r="I12" s="28">
        <f>(I11*E10)</f>
        <v>1748.9124999999999</v>
      </c>
      <c r="J12" s="113"/>
    </row>
    <row r="13" spans="1:10">
      <c r="A13" s="112"/>
      <c r="B13" s="381">
        <v>2</v>
      </c>
      <c r="C13" s="363" t="s">
        <v>4</v>
      </c>
      <c r="D13" s="365">
        <f>E13/$E$53+0.00001</f>
        <v>0.12481297784722824</v>
      </c>
      <c r="E13" s="404">
        <v>49767.51</v>
      </c>
      <c r="F13" s="23"/>
      <c r="G13" s="61"/>
      <c r="H13" s="24"/>
      <c r="I13" s="24"/>
      <c r="J13" s="113"/>
    </row>
    <row r="14" spans="1:10">
      <c r="A14" s="112"/>
      <c r="B14" s="370"/>
      <c r="C14" s="364"/>
      <c r="D14" s="365"/>
      <c r="E14" s="371"/>
      <c r="F14" s="25">
        <v>1</v>
      </c>
      <c r="G14" s="25"/>
      <c r="H14" s="26"/>
      <c r="I14" s="26"/>
      <c r="J14" s="113"/>
    </row>
    <row r="15" spans="1:10">
      <c r="A15" s="112"/>
      <c r="B15" s="382"/>
      <c r="C15" s="366"/>
      <c r="D15" s="365"/>
      <c r="E15" s="372"/>
      <c r="F15" s="27">
        <f>(F14*E13)</f>
        <v>49767.51</v>
      </c>
      <c r="G15" s="28"/>
      <c r="H15" s="29"/>
      <c r="I15" s="28"/>
      <c r="J15" s="113"/>
    </row>
    <row r="16" spans="1:10">
      <c r="A16" s="112"/>
      <c r="B16" s="381">
        <v>3</v>
      </c>
      <c r="C16" s="363" t="s">
        <v>101</v>
      </c>
      <c r="D16" s="365">
        <f>E16/$E$53</f>
        <v>3.3800554160970692E-2</v>
      </c>
      <c r="E16" s="404">
        <v>13478.6</v>
      </c>
      <c r="F16" s="30"/>
      <c r="G16" s="31"/>
      <c r="H16" s="32"/>
      <c r="I16" s="33"/>
      <c r="J16" s="113"/>
    </row>
    <row r="17" spans="1:10">
      <c r="A17" s="112"/>
      <c r="B17" s="370"/>
      <c r="C17" s="364"/>
      <c r="D17" s="365"/>
      <c r="E17" s="371"/>
      <c r="F17" s="25">
        <v>1</v>
      </c>
      <c r="G17" s="25"/>
      <c r="H17" s="26"/>
      <c r="I17" s="26"/>
      <c r="J17" s="113"/>
    </row>
    <row r="18" spans="1:10">
      <c r="A18" s="112"/>
      <c r="B18" s="382"/>
      <c r="C18" s="366"/>
      <c r="D18" s="365"/>
      <c r="E18" s="372"/>
      <c r="F18" s="27">
        <f>F17*E16</f>
        <v>13478.6</v>
      </c>
      <c r="G18" s="27"/>
      <c r="H18" s="29"/>
      <c r="I18" s="28"/>
      <c r="J18" s="113"/>
    </row>
    <row r="19" spans="1:10">
      <c r="A19" s="112"/>
      <c r="B19" s="381">
        <v>4</v>
      </c>
      <c r="C19" s="363" t="s">
        <v>226</v>
      </c>
      <c r="D19" s="365">
        <f>E19/$E$53</f>
        <v>9.0825102808367985E-3</v>
      </c>
      <c r="E19" s="404">
        <v>3621.82</v>
      </c>
      <c r="F19" s="34"/>
      <c r="G19" s="408"/>
      <c r="H19" s="405"/>
      <c r="I19" s="33"/>
      <c r="J19" s="113"/>
    </row>
    <row r="20" spans="1:10">
      <c r="A20" s="112"/>
      <c r="B20" s="370"/>
      <c r="C20" s="364"/>
      <c r="D20" s="365"/>
      <c r="E20" s="371"/>
      <c r="F20" s="25">
        <v>1</v>
      </c>
      <c r="G20" s="409"/>
      <c r="H20" s="406"/>
      <c r="I20" s="26"/>
      <c r="J20" s="113"/>
    </row>
    <row r="21" spans="1:10">
      <c r="A21" s="112"/>
      <c r="B21" s="382"/>
      <c r="C21" s="366"/>
      <c r="D21" s="365"/>
      <c r="E21" s="372"/>
      <c r="F21" s="27">
        <f>F20*E19</f>
        <v>3621.82</v>
      </c>
      <c r="G21" s="410"/>
      <c r="H21" s="407"/>
      <c r="I21" s="28"/>
      <c r="J21" s="113"/>
    </row>
    <row r="22" spans="1:10">
      <c r="A22" s="112"/>
      <c r="B22" s="381">
        <v>5</v>
      </c>
      <c r="C22" s="363" t="s">
        <v>234</v>
      </c>
      <c r="D22" s="365">
        <f>E22/$E$53</f>
        <v>1.7266554656847236E-2</v>
      </c>
      <c r="E22" s="404">
        <v>6885.36</v>
      </c>
      <c r="F22" s="34"/>
      <c r="G22" s="408"/>
      <c r="H22" s="405"/>
      <c r="I22" s="33"/>
      <c r="J22" s="113"/>
    </row>
    <row r="23" spans="1:10">
      <c r="A23" s="112"/>
      <c r="B23" s="370"/>
      <c r="C23" s="364"/>
      <c r="D23" s="365"/>
      <c r="E23" s="371"/>
      <c r="F23" s="25">
        <v>1</v>
      </c>
      <c r="G23" s="409"/>
      <c r="H23" s="406"/>
      <c r="I23" s="26"/>
      <c r="J23" s="113"/>
    </row>
    <row r="24" spans="1:10">
      <c r="A24" s="112"/>
      <c r="B24" s="382"/>
      <c r="C24" s="366"/>
      <c r="D24" s="365"/>
      <c r="E24" s="372"/>
      <c r="F24" s="27">
        <f>F23*E22</f>
        <v>6885.36</v>
      </c>
      <c r="G24" s="410"/>
      <c r="H24" s="407"/>
      <c r="I24" s="28"/>
      <c r="J24" s="113"/>
    </row>
    <row r="25" spans="1:10">
      <c r="A25" s="112"/>
      <c r="B25" s="381">
        <v>6</v>
      </c>
      <c r="C25" s="363" t="s">
        <v>236</v>
      </c>
      <c r="D25" s="365">
        <f>E25/$E$53</f>
        <v>4.8112613477775991E-3</v>
      </c>
      <c r="E25" s="371">
        <v>1918.58</v>
      </c>
      <c r="F25" s="34"/>
      <c r="G25" s="408"/>
      <c r="H25" s="405"/>
      <c r="I25" s="33"/>
      <c r="J25" s="113"/>
    </row>
    <row r="26" spans="1:10">
      <c r="A26" s="112"/>
      <c r="B26" s="370"/>
      <c r="C26" s="364"/>
      <c r="D26" s="365"/>
      <c r="E26" s="371"/>
      <c r="F26" s="25">
        <v>1</v>
      </c>
      <c r="G26" s="409"/>
      <c r="H26" s="406"/>
      <c r="I26" s="26"/>
      <c r="J26" s="113"/>
    </row>
    <row r="27" spans="1:10">
      <c r="A27" s="112"/>
      <c r="B27" s="382"/>
      <c r="C27" s="366"/>
      <c r="D27" s="365"/>
      <c r="E27" s="372"/>
      <c r="F27" s="27">
        <f>F26*E25</f>
        <v>1918.58</v>
      </c>
      <c r="G27" s="410"/>
      <c r="H27" s="407"/>
      <c r="I27" s="28"/>
      <c r="J27" s="113"/>
    </row>
    <row r="28" spans="1:10">
      <c r="A28" s="112"/>
      <c r="B28" s="381">
        <v>7</v>
      </c>
      <c r="C28" s="363" t="s">
        <v>243</v>
      </c>
      <c r="D28" s="365">
        <f>E28/$E$53</f>
        <v>3.295507637875509E-2</v>
      </c>
      <c r="E28" s="404">
        <v>13141.45</v>
      </c>
      <c r="F28" s="34"/>
      <c r="G28" s="408"/>
      <c r="H28" s="405"/>
      <c r="I28" s="33"/>
      <c r="J28" s="113"/>
    </row>
    <row r="29" spans="1:10">
      <c r="A29" s="112"/>
      <c r="B29" s="370"/>
      <c r="C29" s="364"/>
      <c r="D29" s="365"/>
      <c r="E29" s="371"/>
      <c r="F29" s="25">
        <v>1</v>
      </c>
      <c r="G29" s="409"/>
      <c r="H29" s="406"/>
      <c r="I29" s="26"/>
      <c r="J29" s="113"/>
    </row>
    <row r="30" spans="1:10">
      <c r="A30" s="112"/>
      <c r="B30" s="382"/>
      <c r="C30" s="366"/>
      <c r="D30" s="365"/>
      <c r="E30" s="372"/>
      <c r="F30" s="27">
        <f>F29*E28</f>
        <v>13141.45</v>
      </c>
      <c r="G30" s="410"/>
      <c r="H30" s="407"/>
      <c r="I30" s="28"/>
      <c r="J30" s="113"/>
    </row>
    <row r="31" spans="1:10">
      <c r="A31" s="112"/>
      <c r="B31" s="381">
        <v>8</v>
      </c>
      <c r="C31" s="401" t="s">
        <v>266</v>
      </c>
      <c r="D31" s="365">
        <f>E31/$E$53</f>
        <v>3.1314124750190339E-2</v>
      </c>
      <c r="E31" s="404">
        <v>12487.09</v>
      </c>
      <c r="G31" s="35"/>
      <c r="H31" s="39"/>
      <c r="I31" s="40"/>
      <c r="J31" s="113"/>
    </row>
    <row r="32" spans="1:10">
      <c r="A32" s="112"/>
      <c r="B32" s="370"/>
      <c r="C32" s="402"/>
      <c r="D32" s="365"/>
      <c r="E32" s="371"/>
      <c r="G32" s="26">
        <v>1</v>
      </c>
      <c r="H32" s="37"/>
      <c r="I32" s="37"/>
      <c r="J32" s="113"/>
    </row>
    <row r="33" spans="1:10">
      <c r="A33" s="112"/>
      <c r="B33" s="382"/>
      <c r="C33" s="403"/>
      <c r="D33" s="365"/>
      <c r="E33" s="372"/>
      <c r="G33" s="28">
        <f>G32*E31</f>
        <v>12487.09</v>
      </c>
      <c r="H33" s="41"/>
      <c r="I33" s="41"/>
      <c r="J33" s="113"/>
    </row>
    <row r="34" spans="1:10">
      <c r="A34" s="112"/>
      <c r="B34" s="381">
        <v>9</v>
      </c>
      <c r="C34" s="363" t="s">
        <v>102</v>
      </c>
      <c r="D34" s="365">
        <f>E34/$E$53</f>
        <v>0.36699679044446354</v>
      </c>
      <c r="E34" s="404">
        <v>146346.80000000002</v>
      </c>
      <c r="F34" s="36"/>
      <c r="G34" s="35"/>
      <c r="H34" s="405"/>
      <c r="I34" s="38"/>
      <c r="J34" s="113"/>
    </row>
    <row r="35" spans="1:10">
      <c r="A35" s="112"/>
      <c r="B35" s="370"/>
      <c r="C35" s="364"/>
      <c r="D35" s="365"/>
      <c r="E35" s="371"/>
      <c r="F35" s="26"/>
      <c r="G35" s="36">
        <v>1</v>
      </c>
      <c r="H35" s="406"/>
      <c r="I35" s="26"/>
      <c r="J35" s="113"/>
    </row>
    <row r="36" spans="1:10">
      <c r="A36" s="112"/>
      <c r="B36" s="382"/>
      <c r="C36" s="364"/>
      <c r="D36" s="365"/>
      <c r="E36" s="372"/>
      <c r="F36" s="60"/>
      <c r="G36" s="28">
        <f>G35*E34</f>
        <v>146346.80000000002</v>
      </c>
      <c r="H36" s="407"/>
      <c r="I36" s="28"/>
      <c r="J36" s="113"/>
    </row>
    <row r="37" spans="1:10">
      <c r="A37" s="112"/>
      <c r="B37" s="381">
        <v>10</v>
      </c>
      <c r="C37" s="363" t="s">
        <v>25</v>
      </c>
      <c r="D37" s="365">
        <f>E37/$E$53</f>
        <v>0.19412764209299219</v>
      </c>
      <c r="E37" s="404">
        <v>77412.009999999995</v>
      </c>
      <c r="F37" s="36"/>
      <c r="H37" s="35"/>
      <c r="I37" s="35"/>
      <c r="J37" s="113"/>
    </row>
    <row r="38" spans="1:10">
      <c r="A38" s="112"/>
      <c r="B38" s="370"/>
      <c r="C38" s="364"/>
      <c r="D38" s="365"/>
      <c r="E38" s="371"/>
      <c r="F38" s="26"/>
      <c r="H38" s="36">
        <v>0.5</v>
      </c>
      <c r="I38" s="36">
        <v>0.5</v>
      </c>
      <c r="J38" s="113"/>
    </row>
    <row r="39" spans="1:10">
      <c r="A39" s="112"/>
      <c r="B39" s="382"/>
      <c r="C39" s="364"/>
      <c r="D39" s="365"/>
      <c r="E39" s="372"/>
      <c r="F39" s="60"/>
      <c r="H39" s="28">
        <f>H38*E37</f>
        <v>38706.004999999997</v>
      </c>
      <c r="I39" s="28">
        <f>I38*E37</f>
        <v>38706.004999999997</v>
      </c>
      <c r="J39" s="113"/>
    </row>
    <row r="40" spans="1:10">
      <c r="A40" s="112"/>
      <c r="B40" s="381">
        <v>11</v>
      </c>
      <c r="C40" s="363" t="s">
        <v>194</v>
      </c>
      <c r="D40" s="365">
        <f>E40/$E$53</f>
        <v>1.8128809085549635E-3</v>
      </c>
      <c r="E40" s="404">
        <v>722.92</v>
      </c>
      <c r="F40" s="25"/>
      <c r="G40" s="36"/>
      <c r="H40" s="35"/>
      <c r="I40" s="40"/>
      <c r="J40" s="113"/>
    </row>
    <row r="41" spans="1:10">
      <c r="A41" s="112"/>
      <c r="B41" s="370"/>
      <c r="C41" s="364"/>
      <c r="D41" s="365"/>
      <c r="E41" s="371"/>
      <c r="F41" s="26"/>
      <c r="H41" s="36">
        <v>1</v>
      </c>
      <c r="I41" s="37"/>
      <c r="J41" s="113"/>
    </row>
    <row r="42" spans="1:10">
      <c r="A42" s="112"/>
      <c r="B42" s="382"/>
      <c r="C42" s="364"/>
      <c r="D42" s="365"/>
      <c r="E42" s="372"/>
      <c r="F42" s="26"/>
      <c r="H42" s="28">
        <f>H41*E40</f>
        <v>722.92</v>
      </c>
      <c r="I42" s="41"/>
      <c r="J42" s="113"/>
    </row>
    <row r="43" spans="1:10">
      <c r="A43" s="112"/>
      <c r="B43" s="381">
        <v>12</v>
      </c>
      <c r="C43" s="401" t="s">
        <v>28</v>
      </c>
      <c r="D43" s="365">
        <f>E43/$E$53</f>
        <v>0.11725205752779787</v>
      </c>
      <c r="E43" s="404">
        <v>46756.439999999995</v>
      </c>
      <c r="F43" s="42"/>
      <c r="G43" s="405"/>
      <c r="H43" s="405"/>
      <c r="I43" s="35"/>
      <c r="J43" s="113"/>
    </row>
    <row r="44" spans="1:10">
      <c r="A44" s="112"/>
      <c r="B44" s="370"/>
      <c r="C44" s="402"/>
      <c r="D44" s="365"/>
      <c r="E44" s="371"/>
      <c r="F44" s="25"/>
      <c r="G44" s="406"/>
      <c r="H44" s="406"/>
      <c r="I44" s="26">
        <v>1</v>
      </c>
      <c r="J44" s="113"/>
    </row>
    <row r="45" spans="1:10">
      <c r="A45" s="112"/>
      <c r="B45" s="382"/>
      <c r="C45" s="403"/>
      <c r="D45" s="365"/>
      <c r="E45" s="372"/>
      <c r="F45" s="27"/>
      <c r="G45" s="407"/>
      <c r="H45" s="407"/>
      <c r="I45" s="29">
        <f>I44*E43</f>
        <v>46756.439999999995</v>
      </c>
      <c r="J45" s="113"/>
    </row>
    <row r="46" spans="1:10">
      <c r="A46" s="112"/>
      <c r="B46" s="381">
        <v>13</v>
      </c>
      <c r="C46" s="401" t="s">
        <v>84</v>
      </c>
      <c r="D46" s="365">
        <f>E46/$E$53</f>
        <v>2.3587112335647482E-2</v>
      </c>
      <c r="E46" s="404">
        <v>9405.8000000000011</v>
      </c>
      <c r="F46" s="42"/>
      <c r="G46" s="405"/>
      <c r="H46" s="405"/>
      <c r="I46" s="35"/>
      <c r="J46" s="113"/>
    </row>
    <row r="47" spans="1:10">
      <c r="A47" s="112"/>
      <c r="B47" s="370"/>
      <c r="C47" s="402"/>
      <c r="D47" s="365"/>
      <c r="E47" s="371"/>
      <c r="F47" s="25"/>
      <c r="G47" s="406"/>
      <c r="H47" s="406"/>
      <c r="I47" s="26">
        <v>1</v>
      </c>
      <c r="J47" s="113"/>
    </row>
    <row r="48" spans="1:10">
      <c r="A48" s="112"/>
      <c r="B48" s="382"/>
      <c r="C48" s="403"/>
      <c r="D48" s="365"/>
      <c r="E48" s="372"/>
      <c r="F48" s="27"/>
      <c r="G48" s="407"/>
      <c r="H48" s="407"/>
      <c r="I48" s="29">
        <f>I47*E46</f>
        <v>9405.8000000000011</v>
      </c>
      <c r="J48" s="113"/>
    </row>
    <row r="49" spans="1:10">
      <c r="A49" s="112"/>
      <c r="B49" s="381">
        <v>14</v>
      </c>
      <c r="C49" s="363" t="s">
        <v>85</v>
      </c>
      <c r="D49" s="365">
        <f>E49/$E$53</f>
        <v>2.4647326177454135E-2</v>
      </c>
      <c r="E49" s="404">
        <v>9828.58</v>
      </c>
      <c r="F49" s="42"/>
      <c r="G49" s="405"/>
      <c r="H49" s="405"/>
      <c r="I49" s="35"/>
      <c r="J49" s="113"/>
    </row>
    <row r="50" spans="1:10">
      <c r="A50" s="112"/>
      <c r="B50" s="370"/>
      <c r="C50" s="364"/>
      <c r="D50" s="365"/>
      <c r="E50" s="371"/>
      <c r="F50" s="25"/>
      <c r="G50" s="406"/>
      <c r="H50" s="406"/>
      <c r="I50" s="26">
        <v>1</v>
      </c>
      <c r="J50" s="113"/>
    </row>
    <row r="51" spans="1:10">
      <c r="A51" s="112"/>
      <c r="B51" s="382"/>
      <c r="C51" s="366"/>
      <c r="D51" s="365"/>
      <c r="E51" s="372"/>
      <c r="F51" s="27"/>
      <c r="G51" s="407"/>
      <c r="H51" s="407"/>
      <c r="I51" s="29">
        <f>I50*E49</f>
        <v>9828.58</v>
      </c>
      <c r="J51" s="113"/>
    </row>
    <row r="52" spans="1:10">
      <c r="A52" s="112"/>
      <c r="B52" s="427" t="s">
        <v>11</v>
      </c>
      <c r="C52" s="428"/>
      <c r="D52" s="43">
        <v>0</v>
      </c>
      <c r="E52" s="43">
        <v>0</v>
      </c>
      <c r="F52" s="28">
        <f>SUM(F30,F27,F24,F21,F18,F15,F12)</f>
        <v>90562.232500000013</v>
      </c>
      <c r="G52" s="28">
        <f>SUM(G36,G33,G12)</f>
        <v>160582.80250000002</v>
      </c>
      <c r="H52" s="28">
        <f>SUM(H42,H39,H12)</f>
        <v>41177.837499999994</v>
      </c>
      <c r="I52" s="245">
        <f>SUM(I51,I48,I45,I39,I12)</f>
        <v>106445.73749999999</v>
      </c>
      <c r="J52" s="113"/>
    </row>
    <row r="53" spans="1:10">
      <c r="A53" s="112"/>
      <c r="B53" s="427" t="s">
        <v>12</v>
      </c>
      <c r="C53" s="428"/>
      <c r="D53" s="44">
        <f>SUM(D10:D52)</f>
        <v>1.0000199999999999</v>
      </c>
      <c r="E53" s="45">
        <f>SUM(E10:E51)</f>
        <v>398768.61000000004</v>
      </c>
      <c r="F53" s="46">
        <f>+F52</f>
        <v>90562.232500000013</v>
      </c>
      <c r="G53" s="46">
        <f>+F53+G52</f>
        <v>251145.03500000003</v>
      </c>
      <c r="H53" s="46">
        <f>+G53+H52</f>
        <v>292322.87250000006</v>
      </c>
      <c r="I53" s="46">
        <f>+H53+I52</f>
        <v>398768.61000000004</v>
      </c>
      <c r="J53" s="113"/>
    </row>
    <row r="54" spans="1:10">
      <c r="A54" s="112"/>
      <c r="B54" s="120"/>
      <c r="C54" s="120"/>
      <c r="D54" s="120"/>
      <c r="E54" s="120"/>
      <c r="F54" s="120"/>
      <c r="G54" s="120"/>
      <c r="H54" s="120"/>
      <c r="I54" s="120"/>
      <c r="J54" s="113"/>
    </row>
    <row r="55" spans="1:10">
      <c r="A55" s="112"/>
      <c r="B55" s="120" t="s">
        <v>296</v>
      </c>
      <c r="C55" s="121"/>
      <c r="D55" s="121"/>
      <c r="E55" s="121"/>
      <c r="F55" s="120"/>
      <c r="G55" s="120"/>
      <c r="H55" s="120"/>
      <c r="I55" s="120"/>
      <c r="J55" s="113"/>
    </row>
    <row r="56" spans="1:10">
      <c r="A56" s="112"/>
      <c r="B56" s="120"/>
      <c r="C56" s="246" t="s">
        <v>297</v>
      </c>
      <c r="D56" s="120"/>
      <c r="E56" s="120"/>
      <c r="F56" s="122"/>
      <c r="G56" s="122"/>
      <c r="H56" s="120"/>
      <c r="I56" s="120"/>
      <c r="J56" s="113"/>
    </row>
    <row r="57" spans="1:10">
      <c r="A57" s="112"/>
      <c r="B57" s="16"/>
      <c r="C57" s="16"/>
      <c r="D57" s="16"/>
      <c r="E57" s="16"/>
      <c r="F57" s="16"/>
      <c r="G57" s="16"/>
      <c r="H57" s="16"/>
      <c r="I57" s="16"/>
      <c r="J57" s="113"/>
    </row>
    <row r="58" spans="1:10" ht="13.5" thickBot="1">
      <c r="A58" s="115"/>
      <c r="B58" s="18"/>
      <c r="C58" s="18"/>
      <c r="D58" s="18"/>
      <c r="E58" s="429"/>
      <c r="F58" s="429"/>
      <c r="G58" s="429"/>
      <c r="H58" s="18"/>
      <c r="I58" s="18"/>
      <c r="J58" s="116"/>
    </row>
    <row r="59" spans="1:10">
      <c r="D59" s="16"/>
      <c r="E59" s="430"/>
      <c r="F59" s="430"/>
      <c r="G59" s="430"/>
      <c r="H59" s="16"/>
    </row>
    <row r="60" spans="1:10">
      <c r="E60" s="426"/>
      <c r="F60" s="426"/>
      <c r="G60" s="426"/>
    </row>
  </sheetData>
  <mergeCells count="88">
    <mergeCell ref="G22:G24"/>
    <mergeCell ref="H22:H24"/>
    <mergeCell ref="H34:H36"/>
    <mergeCell ref="D25:D27"/>
    <mergeCell ref="E25:E27"/>
    <mergeCell ref="G25:G27"/>
    <mergeCell ref="H25:H27"/>
    <mergeCell ref="D22:D24"/>
    <mergeCell ref="E22:E24"/>
    <mergeCell ref="E34:E36"/>
    <mergeCell ref="D34:D36"/>
    <mergeCell ref="G28:G30"/>
    <mergeCell ref="H28:H30"/>
    <mergeCell ref="D28:D30"/>
    <mergeCell ref="E28:E30"/>
    <mergeCell ref="E60:G60"/>
    <mergeCell ref="B52:C52"/>
    <mergeCell ref="B53:C53"/>
    <mergeCell ref="E58:G58"/>
    <mergeCell ref="E59:G59"/>
    <mergeCell ref="D40:D42"/>
    <mergeCell ref="E40:E42"/>
    <mergeCell ref="B16:B18"/>
    <mergeCell ref="C16:C18"/>
    <mergeCell ref="D16:D18"/>
    <mergeCell ref="E16:E18"/>
    <mergeCell ref="B31:B33"/>
    <mergeCell ref="C31:C33"/>
    <mergeCell ref="D31:D33"/>
    <mergeCell ref="E31:E33"/>
    <mergeCell ref="B22:B24"/>
    <mergeCell ref="C22:C24"/>
    <mergeCell ref="D19:D21"/>
    <mergeCell ref="E19:E21"/>
    <mergeCell ref="B25:B27"/>
    <mergeCell ref="C25:C27"/>
    <mergeCell ref="B28:B30"/>
    <mergeCell ref="C28:C30"/>
    <mergeCell ref="B13:B15"/>
    <mergeCell ref="C13:C15"/>
    <mergeCell ref="D13:D15"/>
    <mergeCell ref="E13:E15"/>
    <mergeCell ref="B10:B12"/>
    <mergeCell ref="C10:C12"/>
    <mergeCell ref="D10:D12"/>
    <mergeCell ref="E10:E12"/>
    <mergeCell ref="G19:G21"/>
    <mergeCell ref="H19:H21"/>
    <mergeCell ref="B2:I3"/>
    <mergeCell ref="B8:B9"/>
    <mergeCell ref="C8:C9"/>
    <mergeCell ref="D8:D9"/>
    <mergeCell ref="F8:F9"/>
    <mergeCell ref="G8:G9"/>
    <mergeCell ref="B4:I4"/>
    <mergeCell ref="B5:I5"/>
    <mergeCell ref="B6:C6"/>
    <mergeCell ref="B19:B21"/>
    <mergeCell ref="C19:C21"/>
    <mergeCell ref="H6:I6"/>
    <mergeCell ref="H8:H9"/>
    <mergeCell ref="I8:I9"/>
    <mergeCell ref="B34:B36"/>
    <mergeCell ref="C34:C36"/>
    <mergeCell ref="B49:B51"/>
    <mergeCell ref="C49:C51"/>
    <mergeCell ref="D49:D51"/>
    <mergeCell ref="B37:B39"/>
    <mergeCell ref="C37:C39"/>
    <mergeCell ref="D37:D39"/>
    <mergeCell ref="D43:D45"/>
    <mergeCell ref="B46:B48"/>
    <mergeCell ref="C46:C48"/>
    <mergeCell ref="D46:D48"/>
    <mergeCell ref="B43:B45"/>
    <mergeCell ref="C43:C45"/>
    <mergeCell ref="B40:B42"/>
    <mergeCell ref="C40:C42"/>
    <mergeCell ref="E37:E39"/>
    <mergeCell ref="E43:E45"/>
    <mergeCell ref="H43:H45"/>
    <mergeCell ref="G46:G48"/>
    <mergeCell ref="G49:G51"/>
    <mergeCell ref="H49:H51"/>
    <mergeCell ref="H46:H48"/>
    <mergeCell ref="E49:E51"/>
    <mergeCell ref="G43:G45"/>
    <mergeCell ref="E46:E48"/>
  </mergeCells>
  <printOptions horizontalCentered="1"/>
  <pageMargins left="0.39370078740157483" right="0.11811023622047245" top="1.1417322834645669" bottom="0.43307086614173229" header="0" footer="0.31496062992125984"/>
  <pageSetup paperSize="9" scale="75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7"/>
  <sheetViews>
    <sheetView workbookViewId="0">
      <selection activeCell="A4" sqref="A4:F4"/>
    </sheetView>
  </sheetViews>
  <sheetFormatPr defaultColWidth="9.140625" defaultRowHeight="15"/>
  <cols>
    <col min="1" max="1" width="7.7109375" style="247" customWidth="1"/>
    <col min="2" max="2" width="40.42578125" style="247" bestFit="1" customWidth="1"/>
    <col min="3" max="3" width="8.7109375" style="263" bestFit="1" customWidth="1"/>
    <col min="4" max="4" width="12.140625" style="247" bestFit="1" customWidth="1"/>
    <col min="5" max="5" width="9.140625" style="247"/>
    <col min="6" max="6" width="12.140625" style="247" bestFit="1" customWidth="1"/>
    <col min="7" max="16384" width="9.140625" style="247"/>
  </cols>
  <sheetData>
    <row r="1" spans="1:6">
      <c r="A1" s="434" t="s">
        <v>300</v>
      </c>
      <c r="B1" s="435"/>
      <c r="C1" s="435"/>
      <c r="D1" s="435"/>
      <c r="E1" s="435"/>
      <c r="F1" s="436"/>
    </row>
    <row r="2" spans="1:6" ht="3" customHeight="1">
      <c r="A2" s="437"/>
      <c r="B2" s="438"/>
      <c r="C2" s="438"/>
      <c r="D2" s="438"/>
      <c r="E2" s="438"/>
      <c r="F2" s="439"/>
    </row>
    <row r="3" spans="1:6" ht="29.25" customHeight="1">
      <c r="A3" s="440" t="s">
        <v>396</v>
      </c>
      <c r="B3" s="441"/>
      <c r="C3" s="441"/>
      <c r="D3" s="441"/>
      <c r="E3" s="441"/>
      <c r="F3" s="442"/>
    </row>
    <row r="4" spans="1:6" ht="33" customHeight="1">
      <c r="A4" s="440" t="s">
        <v>394</v>
      </c>
      <c r="B4" s="443"/>
      <c r="C4" s="443"/>
      <c r="D4" s="443"/>
      <c r="E4" s="443"/>
      <c r="F4" s="444"/>
    </row>
    <row r="5" spans="1:6" ht="15" customHeight="1">
      <c r="A5" s="440" t="s">
        <v>301</v>
      </c>
      <c r="B5" s="441"/>
      <c r="C5" s="441"/>
      <c r="D5" s="441"/>
      <c r="E5" s="441"/>
      <c r="F5" s="442"/>
    </row>
    <row r="6" spans="1:6" ht="15" customHeight="1">
      <c r="A6" s="440" t="s">
        <v>302</v>
      </c>
      <c r="B6" s="441"/>
      <c r="C6" s="441"/>
      <c r="D6" s="441"/>
      <c r="E6" s="441"/>
      <c r="F6" s="442"/>
    </row>
    <row r="7" spans="1:6" ht="15.75" customHeight="1">
      <c r="A7" s="445" t="s">
        <v>392</v>
      </c>
      <c r="B7" s="446"/>
      <c r="C7" s="446"/>
      <c r="D7" s="446"/>
      <c r="E7" s="446"/>
      <c r="F7" s="447"/>
    </row>
    <row r="8" spans="1:6">
      <c r="A8" s="431" t="s">
        <v>303</v>
      </c>
      <c r="B8" s="431"/>
      <c r="C8" s="431"/>
      <c r="D8" s="431"/>
      <c r="E8" s="431"/>
      <c r="F8" s="431"/>
    </row>
    <row r="9" spans="1:6">
      <c r="A9" s="448" t="s">
        <v>304</v>
      </c>
      <c r="B9" s="448" t="s">
        <v>305</v>
      </c>
      <c r="C9" s="449" t="s">
        <v>306</v>
      </c>
      <c r="D9" s="449"/>
      <c r="E9" s="433" t="s">
        <v>307</v>
      </c>
      <c r="F9" s="433"/>
    </row>
    <row r="10" spans="1:6">
      <c r="A10" s="448"/>
      <c r="B10" s="448"/>
      <c r="C10" s="248" t="s">
        <v>308</v>
      </c>
      <c r="D10" s="249" t="s">
        <v>309</v>
      </c>
      <c r="E10" s="249" t="s">
        <v>308</v>
      </c>
      <c r="F10" s="249" t="s">
        <v>309</v>
      </c>
    </row>
    <row r="11" spans="1:6" ht="12.75" customHeight="1">
      <c r="A11" s="448"/>
      <c r="B11" s="448"/>
      <c r="C11" s="250" t="s">
        <v>8</v>
      </c>
      <c r="D11" s="250" t="s">
        <v>8</v>
      </c>
      <c r="E11" s="250" t="s">
        <v>8</v>
      </c>
      <c r="F11" s="250" t="s">
        <v>8</v>
      </c>
    </row>
    <row r="12" spans="1:6">
      <c r="A12" s="433" t="s">
        <v>310</v>
      </c>
      <c r="B12" s="433"/>
      <c r="C12" s="433"/>
      <c r="D12" s="433"/>
      <c r="E12" s="433"/>
      <c r="F12" s="433"/>
    </row>
    <row r="13" spans="1:6">
      <c r="A13" s="251" t="s">
        <v>311</v>
      </c>
      <c r="B13" s="252" t="s">
        <v>312</v>
      </c>
      <c r="C13" s="253">
        <v>0</v>
      </c>
      <c r="D13" s="253">
        <v>0</v>
      </c>
      <c r="E13" s="253">
        <v>0.2</v>
      </c>
      <c r="F13" s="253">
        <v>0.2</v>
      </c>
    </row>
    <row r="14" spans="1:6">
      <c r="A14" s="254" t="s">
        <v>313</v>
      </c>
      <c r="B14" s="255" t="s">
        <v>314</v>
      </c>
      <c r="C14" s="256">
        <v>1.4999999999999999E-2</v>
      </c>
      <c r="D14" s="256">
        <v>1.4999999999999999E-2</v>
      </c>
      <c r="E14" s="256">
        <v>1.4999999999999999E-2</v>
      </c>
      <c r="F14" s="256">
        <v>1.4999999999999999E-2</v>
      </c>
    </row>
    <row r="15" spans="1:6">
      <c r="A15" s="251" t="s">
        <v>315</v>
      </c>
      <c r="B15" s="252" t="s">
        <v>316</v>
      </c>
      <c r="C15" s="253">
        <v>0.01</v>
      </c>
      <c r="D15" s="253">
        <v>0.01</v>
      </c>
      <c r="E15" s="253">
        <v>0.01</v>
      </c>
      <c r="F15" s="253">
        <v>0.01</v>
      </c>
    </row>
    <row r="16" spans="1:6">
      <c r="A16" s="254" t="s">
        <v>317</v>
      </c>
      <c r="B16" s="255" t="s">
        <v>318</v>
      </c>
      <c r="C16" s="256">
        <v>2E-3</v>
      </c>
      <c r="D16" s="256">
        <v>2E-3</v>
      </c>
      <c r="E16" s="256">
        <v>2E-3</v>
      </c>
      <c r="F16" s="256">
        <v>2E-3</v>
      </c>
    </row>
    <row r="17" spans="1:6">
      <c r="A17" s="251" t="s">
        <v>319</v>
      </c>
      <c r="B17" s="252" t="s">
        <v>320</v>
      </c>
      <c r="C17" s="253">
        <v>6.0000000000000001E-3</v>
      </c>
      <c r="D17" s="253">
        <v>6.0000000000000001E-3</v>
      </c>
      <c r="E17" s="253">
        <v>6.0000000000000001E-3</v>
      </c>
      <c r="F17" s="253">
        <v>6.0000000000000001E-3</v>
      </c>
    </row>
    <row r="18" spans="1:6">
      <c r="A18" s="254" t="s">
        <v>321</v>
      </c>
      <c r="B18" s="255" t="s">
        <v>322</v>
      </c>
      <c r="C18" s="256">
        <v>2.5000000000000001E-2</v>
      </c>
      <c r="D18" s="256">
        <v>2.5000000000000001E-2</v>
      </c>
      <c r="E18" s="256">
        <v>2.5000000000000001E-2</v>
      </c>
      <c r="F18" s="256">
        <v>2.5000000000000001E-2</v>
      </c>
    </row>
    <row r="19" spans="1:6">
      <c r="A19" s="251" t="s">
        <v>323</v>
      </c>
      <c r="B19" s="252" t="s">
        <v>324</v>
      </c>
      <c r="C19" s="253">
        <v>0.03</v>
      </c>
      <c r="D19" s="253">
        <v>0.03</v>
      </c>
      <c r="E19" s="253">
        <v>0.03</v>
      </c>
      <c r="F19" s="253">
        <v>0.03</v>
      </c>
    </row>
    <row r="20" spans="1:6">
      <c r="A20" s="254" t="s">
        <v>325</v>
      </c>
      <c r="B20" s="255" t="s">
        <v>326</v>
      </c>
      <c r="C20" s="256">
        <v>0.08</v>
      </c>
      <c r="D20" s="256">
        <v>0.08</v>
      </c>
      <c r="E20" s="256">
        <v>0.08</v>
      </c>
      <c r="F20" s="256">
        <v>0.08</v>
      </c>
    </row>
    <row r="21" spans="1:6">
      <c r="A21" s="251" t="s">
        <v>327</v>
      </c>
      <c r="B21" s="252" t="s">
        <v>328</v>
      </c>
      <c r="C21" s="253">
        <v>0</v>
      </c>
      <c r="D21" s="253">
        <v>0</v>
      </c>
      <c r="E21" s="253">
        <v>0</v>
      </c>
      <c r="F21" s="253">
        <v>0</v>
      </c>
    </row>
    <row r="22" spans="1:6">
      <c r="A22" s="257" t="s">
        <v>329</v>
      </c>
      <c r="B22" s="257" t="s">
        <v>330</v>
      </c>
      <c r="C22" s="258">
        <f>SUM(C13:C21)</f>
        <v>0.16799999999999998</v>
      </c>
      <c r="D22" s="258">
        <f t="shared" ref="D22:F22" si="0">SUM(D13:D21)</f>
        <v>0.16799999999999998</v>
      </c>
      <c r="E22" s="258">
        <f t="shared" si="0"/>
        <v>0.36800000000000005</v>
      </c>
      <c r="F22" s="258">
        <f t="shared" si="0"/>
        <v>0.36800000000000005</v>
      </c>
    </row>
    <row r="23" spans="1:6">
      <c r="A23" s="431" t="s">
        <v>331</v>
      </c>
      <c r="B23" s="431"/>
      <c r="C23" s="431"/>
      <c r="D23" s="431"/>
      <c r="E23" s="431"/>
      <c r="F23" s="431"/>
    </row>
    <row r="24" spans="1:6">
      <c r="A24" s="251" t="s">
        <v>332</v>
      </c>
      <c r="B24" s="252" t="s">
        <v>333</v>
      </c>
      <c r="C24" s="253">
        <v>0.1777</v>
      </c>
      <c r="D24" s="253" t="s">
        <v>334</v>
      </c>
      <c r="E24" s="253">
        <v>0.1777</v>
      </c>
      <c r="F24" s="253" t="s">
        <v>334</v>
      </c>
    </row>
    <row r="25" spans="1:6">
      <c r="A25" s="254" t="s">
        <v>335</v>
      </c>
      <c r="B25" s="255" t="s">
        <v>336</v>
      </c>
      <c r="C25" s="256">
        <v>3.6700000000000003E-2</v>
      </c>
      <c r="D25" s="256" t="s">
        <v>334</v>
      </c>
      <c r="E25" s="256">
        <v>3.6700000000000003E-2</v>
      </c>
      <c r="F25" s="256" t="s">
        <v>334</v>
      </c>
    </row>
    <row r="26" spans="1:6">
      <c r="A26" s="251" t="s">
        <v>337</v>
      </c>
      <c r="B26" s="252" t="s">
        <v>338</v>
      </c>
      <c r="C26" s="253">
        <v>9.1999999999999998E-3</v>
      </c>
      <c r="D26" s="253">
        <v>7.0000000000000001E-3</v>
      </c>
      <c r="E26" s="253">
        <v>9.1999999999999998E-3</v>
      </c>
      <c r="F26" s="253">
        <v>7.0000000000000001E-3</v>
      </c>
    </row>
    <row r="27" spans="1:6">
      <c r="A27" s="254" t="s">
        <v>339</v>
      </c>
      <c r="B27" s="255" t="s">
        <v>340</v>
      </c>
      <c r="C27" s="256">
        <v>0.1103</v>
      </c>
      <c r="D27" s="256">
        <v>8.3299999999999999E-2</v>
      </c>
      <c r="E27" s="256">
        <v>0.1103</v>
      </c>
      <c r="F27" s="256">
        <v>8.3299999999999999E-2</v>
      </c>
    </row>
    <row r="28" spans="1:6">
      <c r="A28" s="251" t="s">
        <v>341</v>
      </c>
      <c r="B28" s="252" t="s">
        <v>342</v>
      </c>
      <c r="C28" s="253">
        <v>6.9999999999999999E-4</v>
      </c>
      <c r="D28" s="253">
        <v>5.0000000000000001E-4</v>
      </c>
      <c r="E28" s="253">
        <v>6.9999999999999999E-4</v>
      </c>
      <c r="F28" s="253">
        <v>5.0000000000000001E-4</v>
      </c>
    </row>
    <row r="29" spans="1:6">
      <c r="A29" s="254" t="s">
        <v>343</v>
      </c>
      <c r="B29" s="255" t="s">
        <v>344</v>
      </c>
      <c r="C29" s="256">
        <v>7.4000000000000003E-3</v>
      </c>
      <c r="D29" s="256">
        <v>5.5999999999999999E-3</v>
      </c>
      <c r="E29" s="256">
        <v>7.4000000000000003E-3</v>
      </c>
      <c r="F29" s="256">
        <v>5.5999999999999999E-3</v>
      </c>
    </row>
    <row r="30" spans="1:6">
      <c r="A30" s="251" t="s">
        <v>345</v>
      </c>
      <c r="B30" s="252" t="s">
        <v>346</v>
      </c>
      <c r="C30" s="253">
        <v>1.0999999999999999E-2</v>
      </c>
      <c r="D30" s="253" t="s">
        <v>334</v>
      </c>
      <c r="E30" s="253">
        <v>1.0999999999999999E-2</v>
      </c>
      <c r="F30" s="253" t="s">
        <v>334</v>
      </c>
    </row>
    <row r="31" spans="1:6">
      <c r="A31" s="254" t="s">
        <v>347</v>
      </c>
      <c r="B31" s="255" t="s">
        <v>348</v>
      </c>
      <c r="C31" s="256">
        <v>1.1000000000000001E-3</v>
      </c>
      <c r="D31" s="256">
        <v>8.0000000000000004E-4</v>
      </c>
      <c r="E31" s="256">
        <v>1.1000000000000001E-3</v>
      </c>
      <c r="F31" s="256">
        <v>8.0000000000000004E-4</v>
      </c>
    </row>
    <row r="32" spans="1:6">
      <c r="A32" s="251" t="s">
        <v>349</v>
      </c>
      <c r="B32" s="252" t="s">
        <v>350</v>
      </c>
      <c r="C32" s="253">
        <v>0.13200000000000001</v>
      </c>
      <c r="D32" s="253">
        <v>9.9699999999999997E-2</v>
      </c>
      <c r="E32" s="253">
        <v>0.13200000000000001</v>
      </c>
      <c r="F32" s="253">
        <v>9.9699999999999997E-2</v>
      </c>
    </row>
    <row r="33" spans="1:6">
      <c r="A33" s="254" t="s">
        <v>351</v>
      </c>
      <c r="B33" s="255" t="s">
        <v>352</v>
      </c>
      <c r="C33" s="256">
        <v>2.9999999999999997E-4</v>
      </c>
      <c r="D33" s="256">
        <v>2.0000000000000001E-4</v>
      </c>
      <c r="E33" s="256">
        <v>2.9999999999999997E-4</v>
      </c>
      <c r="F33" s="256">
        <v>2.0000000000000001E-4</v>
      </c>
    </row>
    <row r="34" spans="1:6">
      <c r="A34" s="259" t="s">
        <v>353</v>
      </c>
      <c r="B34" s="259" t="s">
        <v>330</v>
      </c>
      <c r="C34" s="250">
        <f>SUM(C24:C33)</f>
        <v>0.48640000000000005</v>
      </c>
      <c r="D34" s="250">
        <f t="shared" ref="D34:F34" si="1">SUM(D24:D33)</f>
        <v>0.1971</v>
      </c>
      <c r="E34" s="250">
        <f t="shared" si="1"/>
        <v>0.48640000000000005</v>
      </c>
      <c r="F34" s="250">
        <f t="shared" si="1"/>
        <v>0.1971</v>
      </c>
    </row>
    <row r="35" spans="1:6">
      <c r="A35" s="431" t="s">
        <v>354</v>
      </c>
      <c r="B35" s="431"/>
      <c r="C35" s="431"/>
      <c r="D35" s="431"/>
      <c r="E35" s="431"/>
      <c r="F35" s="431"/>
    </row>
    <row r="36" spans="1:6">
      <c r="A36" s="251" t="s">
        <v>355</v>
      </c>
      <c r="B36" s="252" t="s">
        <v>356</v>
      </c>
      <c r="C36" s="253">
        <v>7.9399999999999998E-2</v>
      </c>
      <c r="D36" s="253">
        <v>0.06</v>
      </c>
      <c r="E36" s="253">
        <v>7.9399999999999998E-2</v>
      </c>
      <c r="F36" s="253">
        <v>0.06</v>
      </c>
    </row>
    <row r="37" spans="1:6">
      <c r="A37" s="254" t="s">
        <v>357</v>
      </c>
      <c r="B37" s="255" t="s">
        <v>358</v>
      </c>
      <c r="C37" s="256">
        <v>1.9E-3</v>
      </c>
      <c r="D37" s="256">
        <v>1.4E-3</v>
      </c>
      <c r="E37" s="256">
        <v>1.9E-3</v>
      </c>
      <c r="F37" s="256">
        <v>1.4E-3</v>
      </c>
    </row>
    <row r="38" spans="1:6">
      <c r="A38" s="251" t="s">
        <v>359</v>
      </c>
      <c r="B38" s="252" t="s">
        <v>360</v>
      </c>
      <c r="C38" s="253">
        <v>8.8999999999999999E-3</v>
      </c>
      <c r="D38" s="253">
        <v>6.7000000000000002E-3</v>
      </c>
      <c r="E38" s="253">
        <v>8.8999999999999999E-3</v>
      </c>
      <c r="F38" s="253">
        <v>6.7000000000000002E-3</v>
      </c>
    </row>
    <row r="39" spans="1:6">
      <c r="A39" s="254" t="s">
        <v>361</v>
      </c>
      <c r="B39" s="255" t="s">
        <v>362</v>
      </c>
      <c r="C39" s="256">
        <v>4.8300000000000003E-2</v>
      </c>
      <c r="D39" s="256">
        <v>3.6499999999999998E-2</v>
      </c>
      <c r="E39" s="256">
        <v>4.8300000000000003E-2</v>
      </c>
      <c r="F39" s="256">
        <v>3.6499999999999998E-2</v>
      </c>
    </row>
    <row r="40" spans="1:6">
      <c r="A40" s="251" t="s">
        <v>363</v>
      </c>
      <c r="B40" s="252" t="s">
        <v>364</v>
      </c>
      <c r="C40" s="253">
        <v>6.7000000000000002E-3</v>
      </c>
      <c r="D40" s="253">
        <v>5.0000000000000001E-3</v>
      </c>
      <c r="E40" s="253">
        <v>6.7000000000000002E-3</v>
      </c>
      <c r="F40" s="253">
        <v>5.0000000000000001E-3</v>
      </c>
    </row>
    <row r="41" spans="1:6">
      <c r="A41" s="257" t="s">
        <v>365</v>
      </c>
      <c r="B41" s="260" t="s">
        <v>330</v>
      </c>
      <c r="C41" s="258">
        <f>SUM(C36:C40)</f>
        <v>0.14520000000000002</v>
      </c>
      <c r="D41" s="258">
        <f t="shared" ref="D41:F41" si="2">SUM(D36:D40)</f>
        <v>0.1096</v>
      </c>
      <c r="E41" s="258">
        <f t="shared" si="2"/>
        <v>0.14520000000000002</v>
      </c>
      <c r="F41" s="258">
        <f t="shared" si="2"/>
        <v>0.1096</v>
      </c>
    </row>
    <row r="42" spans="1:6">
      <c r="A42" s="431" t="s">
        <v>366</v>
      </c>
      <c r="B42" s="431"/>
      <c r="C42" s="431"/>
      <c r="D42" s="431"/>
      <c r="E42" s="431"/>
      <c r="F42" s="431"/>
    </row>
    <row r="43" spans="1:6">
      <c r="A43" s="251" t="s">
        <v>367</v>
      </c>
      <c r="B43" s="252" t="s">
        <v>368</v>
      </c>
      <c r="C43" s="253">
        <v>8.1699999999999995E-2</v>
      </c>
      <c r="D43" s="253">
        <v>3.3099999999999997E-2</v>
      </c>
      <c r="E43" s="253">
        <v>0.17899999999999999</v>
      </c>
      <c r="F43" s="253">
        <v>7.2499999999999995E-2</v>
      </c>
    </row>
    <row r="44" spans="1:6" ht="38.25">
      <c r="A44" s="254" t="s">
        <v>369</v>
      </c>
      <c r="B44" s="261" t="s">
        <v>370</v>
      </c>
      <c r="C44" s="256">
        <v>6.7000000000000002E-3</v>
      </c>
      <c r="D44" s="256">
        <v>5.0000000000000001E-3</v>
      </c>
      <c r="E44" s="256">
        <v>7.1000000000000004E-3</v>
      </c>
      <c r="F44" s="256">
        <v>5.3E-3</v>
      </c>
    </row>
    <row r="45" spans="1:6">
      <c r="A45" s="259" t="s">
        <v>371</v>
      </c>
      <c r="B45" s="259" t="s">
        <v>330</v>
      </c>
      <c r="C45" s="250">
        <f>SUM(C43:C44)</f>
        <v>8.8399999999999992E-2</v>
      </c>
      <c r="D45" s="250">
        <f t="shared" ref="D45:F45" si="3">SUM(D43:D44)</f>
        <v>3.8099999999999995E-2</v>
      </c>
      <c r="E45" s="250">
        <f t="shared" si="3"/>
        <v>0.18609999999999999</v>
      </c>
      <c r="F45" s="250">
        <f t="shared" si="3"/>
        <v>7.7799999999999994E-2</v>
      </c>
    </row>
    <row r="46" spans="1:6">
      <c r="A46" s="431" t="s">
        <v>372</v>
      </c>
      <c r="B46" s="431"/>
      <c r="C46" s="262">
        <f>C22+C34+C41+C45</f>
        <v>0.88800000000000012</v>
      </c>
      <c r="D46" s="262">
        <f t="shared" ref="D46:F46" si="4">D22+D34+D41+D45</f>
        <v>0.51280000000000003</v>
      </c>
      <c r="E46" s="262">
        <f t="shared" si="4"/>
        <v>1.1857</v>
      </c>
      <c r="F46" s="262">
        <f t="shared" si="4"/>
        <v>0.75250000000000006</v>
      </c>
    </row>
    <row r="47" spans="1:6">
      <c r="A47" s="432" t="s">
        <v>373</v>
      </c>
      <c r="B47" s="432"/>
    </row>
  </sheetData>
  <mergeCells count="17">
    <mergeCell ref="A12:F12"/>
    <mergeCell ref="A1:F2"/>
    <mergeCell ref="A3:F3"/>
    <mergeCell ref="A4:F4"/>
    <mergeCell ref="A5:F5"/>
    <mergeCell ref="A6:F6"/>
    <mergeCell ref="A7:F7"/>
    <mergeCell ref="A8:F8"/>
    <mergeCell ref="A9:A11"/>
    <mergeCell ref="B9:B11"/>
    <mergeCell ref="C9:D9"/>
    <mergeCell ref="E9:F9"/>
    <mergeCell ref="A23:F23"/>
    <mergeCell ref="A35:F35"/>
    <mergeCell ref="A42:F42"/>
    <mergeCell ref="A46:B46"/>
    <mergeCell ref="A47:B47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topLeftCell="A7" workbookViewId="0">
      <selection activeCell="C5" sqref="C5"/>
    </sheetView>
  </sheetViews>
  <sheetFormatPr defaultColWidth="8.85546875" defaultRowHeight="12.75"/>
  <cols>
    <col min="1" max="1" width="49.28515625" style="264" customWidth="1"/>
    <col min="2" max="2" width="33.42578125" style="264" customWidth="1"/>
    <col min="3" max="3" width="15" style="264" customWidth="1"/>
    <col min="4" max="16384" width="8.85546875" style="264"/>
  </cols>
  <sheetData>
    <row r="1" spans="1:3" ht="97.5" customHeight="1">
      <c r="A1" s="452" t="s">
        <v>374</v>
      </c>
      <c r="B1" s="453"/>
      <c r="C1" s="454"/>
    </row>
    <row r="2" spans="1:3" ht="22.5" customHeight="1">
      <c r="A2" s="455" t="s">
        <v>397</v>
      </c>
      <c r="B2" s="456"/>
      <c r="C2" s="457"/>
    </row>
    <row r="3" spans="1:3" ht="11.85" customHeight="1">
      <c r="A3" s="458" t="s">
        <v>375</v>
      </c>
      <c r="B3" s="459"/>
      <c r="C3" s="265" t="s">
        <v>376</v>
      </c>
    </row>
    <row r="4" spans="1:3" ht="11.85" customHeight="1">
      <c r="A4" s="266" t="s">
        <v>377</v>
      </c>
      <c r="B4" s="267"/>
      <c r="C4" s="268">
        <v>0.04</v>
      </c>
    </row>
    <row r="5" spans="1:3" ht="11.85" customHeight="1">
      <c r="A5" s="269" t="s">
        <v>378</v>
      </c>
      <c r="B5" s="270"/>
      <c r="C5" s="271">
        <v>1.23E-2</v>
      </c>
    </row>
    <row r="6" spans="1:3" ht="11.85" customHeight="1">
      <c r="A6" s="269" t="s">
        <v>379</v>
      </c>
      <c r="B6" s="270"/>
      <c r="C6" s="271">
        <v>1.2699999999999999E-2</v>
      </c>
    </row>
    <row r="7" spans="1:3" ht="11.85" customHeight="1">
      <c r="A7" s="269" t="s">
        <v>380</v>
      </c>
      <c r="B7" s="270"/>
      <c r="C7" s="271">
        <v>8.0000000000000002E-3</v>
      </c>
    </row>
    <row r="8" spans="1:3" ht="11.85" customHeight="1">
      <c r="A8" s="269" t="s">
        <v>381</v>
      </c>
      <c r="B8" s="270"/>
      <c r="C8" s="271">
        <v>0</v>
      </c>
    </row>
    <row r="9" spans="1:3" ht="11.85" customHeight="1">
      <c r="A9" s="460" t="s">
        <v>382</v>
      </c>
      <c r="B9" s="461"/>
      <c r="C9" s="272">
        <f>SUM(C4:C8)</f>
        <v>7.3000000000000009E-2</v>
      </c>
    </row>
    <row r="10" spans="1:3" ht="11.85" customHeight="1">
      <c r="A10" s="462" t="s">
        <v>383</v>
      </c>
      <c r="B10" s="463"/>
      <c r="C10" s="273" t="s">
        <v>376</v>
      </c>
    </row>
    <row r="11" spans="1:3" ht="11.85" customHeight="1">
      <c r="A11" s="269" t="s">
        <v>384</v>
      </c>
      <c r="B11" s="270"/>
      <c r="C11" s="271">
        <v>7.3999999999999996E-2</v>
      </c>
    </row>
    <row r="12" spans="1:3" ht="11.85" customHeight="1">
      <c r="A12" s="460" t="s">
        <v>382</v>
      </c>
      <c r="B12" s="461"/>
      <c r="C12" s="272">
        <f>SUM(C11)</f>
        <v>7.3999999999999996E-2</v>
      </c>
    </row>
    <row r="13" spans="1:3" ht="11.85" customHeight="1">
      <c r="A13" s="464"/>
      <c r="B13" s="465"/>
      <c r="C13" s="270"/>
    </row>
    <row r="14" spans="1:3" ht="11.85" customHeight="1">
      <c r="A14" s="462" t="s">
        <v>385</v>
      </c>
      <c r="B14" s="463"/>
      <c r="C14" s="273" t="s">
        <v>376</v>
      </c>
    </row>
    <row r="15" spans="1:3" ht="11.85" customHeight="1">
      <c r="A15" s="269" t="s">
        <v>386</v>
      </c>
      <c r="B15" s="270"/>
      <c r="C15" s="271">
        <v>6.4999999999999997E-3</v>
      </c>
    </row>
    <row r="16" spans="1:3" ht="11.85" customHeight="1">
      <c r="A16" s="269" t="s">
        <v>387</v>
      </c>
      <c r="B16" s="270"/>
      <c r="C16" s="271">
        <v>0.03</v>
      </c>
    </row>
    <row r="17" spans="1:8" ht="11.85" customHeight="1">
      <c r="A17" s="269" t="s">
        <v>388</v>
      </c>
      <c r="B17" s="270"/>
      <c r="C17" s="271">
        <v>1.4999999999999999E-2</v>
      </c>
    </row>
    <row r="18" spans="1:8" ht="11.85" customHeight="1">
      <c r="A18" s="269" t="s">
        <v>389</v>
      </c>
      <c r="B18" s="270"/>
      <c r="C18" s="271">
        <v>4.4999999999999998E-2</v>
      </c>
    </row>
    <row r="19" spans="1:8" ht="11.85" customHeight="1">
      <c r="A19" s="460" t="s">
        <v>382</v>
      </c>
      <c r="B19" s="461"/>
      <c r="C19" s="272">
        <f>SUM(C15:C18)</f>
        <v>9.6500000000000002E-2</v>
      </c>
      <c r="F19" s="264">
        <f>(1+C4+C7+C6+C8)*(1+C5)*(1+C11)/(1-C19)-1</f>
        <v>0.27637394481460986</v>
      </c>
      <c r="G19" s="264">
        <v>100</v>
      </c>
      <c r="H19" s="264">
        <f>(F19*G19)</f>
        <v>27.637394481460987</v>
      </c>
    </row>
    <row r="20" spans="1:8" ht="11.85" customHeight="1">
      <c r="A20" s="464"/>
      <c r="B20" s="466"/>
      <c r="C20" s="465"/>
    </row>
    <row r="21" spans="1:8" ht="39.200000000000003" customHeight="1">
      <c r="A21" s="467"/>
      <c r="B21" s="468"/>
      <c r="C21" s="274"/>
    </row>
    <row r="22" spans="1:8" ht="11.85" customHeight="1">
      <c r="A22" s="450" t="s">
        <v>390</v>
      </c>
      <c r="B22" s="451"/>
      <c r="C22" s="272">
        <v>0.27629999999999999</v>
      </c>
    </row>
    <row r="24" spans="1:8">
      <c r="A24" s="275" t="s">
        <v>391</v>
      </c>
    </row>
  </sheetData>
  <mergeCells count="12">
    <mergeCell ref="A22:B22"/>
    <mergeCell ref="A1:C1"/>
    <mergeCell ref="A2:C2"/>
    <mergeCell ref="A3:B3"/>
    <mergeCell ref="A9:B9"/>
    <mergeCell ref="A10:B10"/>
    <mergeCell ref="A12:B12"/>
    <mergeCell ref="A13:B13"/>
    <mergeCell ref="A14:B14"/>
    <mergeCell ref="A19:B19"/>
    <mergeCell ref="A20:C20"/>
    <mergeCell ref="A21:B21"/>
  </mergeCells>
  <pageMargins left="0.51181102362204722" right="0.51181102362204722" top="0.78740157480314965" bottom="0.78740157480314965" header="0.31496062992125984" footer="0.31496062992125984"/>
  <pageSetup paperSize="9" scale="92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2"/>
  <dimension ref="A5:G81"/>
  <sheetViews>
    <sheetView workbookViewId="0">
      <selection activeCell="A78" sqref="A78"/>
    </sheetView>
  </sheetViews>
  <sheetFormatPr defaultRowHeight="12.75"/>
  <cols>
    <col min="1" max="1" width="33" bestFit="1" customWidth="1"/>
    <col min="2" max="2" width="23.28515625" bestFit="1" customWidth="1"/>
    <col min="3" max="3" width="9.5703125" bestFit="1" customWidth="1"/>
  </cols>
  <sheetData>
    <row r="5" spans="1:5">
      <c r="A5" t="s">
        <v>97</v>
      </c>
      <c r="B5" t="s">
        <v>98</v>
      </c>
      <c r="C5" t="s">
        <v>99</v>
      </c>
      <c r="D5" t="s">
        <v>100</v>
      </c>
    </row>
    <row r="6" spans="1:5">
      <c r="B6">
        <v>1.25</v>
      </c>
      <c r="C6">
        <v>2.5</v>
      </c>
      <c r="D6">
        <f>TRUNC(B6*C6,2)</f>
        <v>3.12</v>
      </c>
    </row>
    <row r="12" spans="1:5">
      <c r="A12" t="s">
        <v>88</v>
      </c>
      <c r="B12" t="s">
        <v>90</v>
      </c>
    </row>
    <row r="13" spans="1:5">
      <c r="B13" t="s">
        <v>91</v>
      </c>
    </row>
    <row r="14" spans="1:5">
      <c r="B14" t="s">
        <v>92</v>
      </c>
      <c r="C14">
        <v>77.599999999999994</v>
      </c>
      <c r="D14">
        <v>4</v>
      </c>
      <c r="E14">
        <f>C14*D14</f>
        <v>310.39999999999998</v>
      </c>
    </row>
    <row r="15" spans="1:5">
      <c r="B15" t="s">
        <v>95</v>
      </c>
      <c r="E15">
        <v>2.2000000000000002</v>
      </c>
    </row>
    <row r="16" spans="1:5">
      <c r="C16" t="s">
        <v>96</v>
      </c>
      <c r="E16">
        <f>E14*E15</f>
        <v>682.88</v>
      </c>
    </row>
    <row r="19" spans="1:7">
      <c r="A19" s="10"/>
      <c r="C19" s="10"/>
      <c r="D19" s="10"/>
      <c r="E19" s="10"/>
    </row>
    <row r="20" spans="1:7">
      <c r="B20" s="10"/>
    </row>
    <row r="21" spans="1:7">
      <c r="B21" s="10"/>
    </row>
    <row r="22" spans="1:7">
      <c r="B22" s="10"/>
    </row>
    <row r="23" spans="1:7">
      <c r="B23" t="s">
        <v>163</v>
      </c>
      <c r="D23">
        <v>61.92</v>
      </c>
      <c r="E23" t="s">
        <v>164</v>
      </c>
      <c r="G23">
        <f>(D23*C26*C27)</f>
        <v>1.770912</v>
      </c>
    </row>
    <row r="25" spans="1:7">
      <c r="A25" s="10" t="s">
        <v>136</v>
      </c>
      <c r="B25" s="10" t="s">
        <v>113</v>
      </c>
      <c r="D25">
        <v>394.04</v>
      </c>
    </row>
    <row r="26" spans="1:7">
      <c r="B26" s="10" t="s">
        <v>112</v>
      </c>
      <c r="C26">
        <v>0.13</v>
      </c>
      <c r="D26">
        <f>TRUNC(D25*C26,2)</f>
        <v>51.22</v>
      </c>
    </row>
    <row r="27" spans="1:7">
      <c r="B27" s="10" t="s">
        <v>95</v>
      </c>
      <c r="C27">
        <v>0.22</v>
      </c>
      <c r="D27">
        <f>TRUNC(D25*C27,2)</f>
        <v>86.68</v>
      </c>
    </row>
    <row r="28" spans="1:7">
      <c r="B28" s="10" t="s">
        <v>114</v>
      </c>
      <c r="D28">
        <f>TRUNC(D26+D27,2)</f>
        <v>137.9</v>
      </c>
    </row>
    <row r="29" spans="1:7">
      <c r="B29" s="10"/>
      <c r="F29">
        <f>(D28+D33)</f>
        <v>307.58000000000004</v>
      </c>
    </row>
    <row r="30" spans="1:7">
      <c r="A30" s="10" t="s">
        <v>137</v>
      </c>
      <c r="B30" s="10" t="s">
        <v>113</v>
      </c>
      <c r="D30">
        <v>771.31</v>
      </c>
    </row>
    <row r="31" spans="1:7">
      <c r="B31" s="10" t="s">
        <v>112</v>
      </c>
      <c r="C31">
        <v>0.1</v>
      </c>
      <c r="D31">
        <f>TRUNC(D30*C31,2)</f>
        <v>77.13</v>
      </c>
    </row>
    <row r="32" spans="1:7">
      <c r="B32" s="10" t="s">
        <v>95</v>
      </c>
      <c r="C32">
        <v>0.12</v>
      </c>
      <c r="D32">
        <f>TRUNC(D30*C32,2)</f>
        <v>92.55</v>
      </c>
    </row>
    <row r="33" spans="1:5">
      <c r="B33" s="10" t="s">
        <v>114</v>
      </c>
      <c r="D33">
        <f>TRUNC(D31+D32,2)</f>
        <v>169.68</v>
      </c>
    </row>
    <row r="34" spans="1:5">
      <c r="B34" s="10" t="s">
        <v>122</v>
      </c>
      <c r="C34">
        <v>0</v>
      </c>
    </row>
    <row r="36" spans="1:5">
      <c r="A36" s="10" t="s">
        <v>162</v>
      </c>
      <c r="B36" t="s">
        <v>156</v>
      </c>
      <c r="C36">
        <v>160</v>
      </c>
      <c r="D36" s="10"/>
    </row>
    <row r="37" spans="1:5">
      <c r="B37" s="10" t="s">
        <v>157</v>
      </c>
      <c r="C37" s="94">
        <v>7.0000000000000007E-2</v>
      </c>
    </row>
    <row r="38" spans="1:5">
      <c r="B38" s="10" t="s">
        <v>122</v>
      </c>
      <c r="C38">
        <f>(C36*C37)</f>
        <v>11.200000000000001</v>
      </c>
    </row>
    <row r="39" spans="1:5">
      <c r="B39" s="10"/>
    </row>
    <row r="40" spans="1:5">
      <c r="A40" t="s">
        <v>158</v>
      </c>
      <c r="B40">
        <f>(C38+C34+G23+C60)</f>
        <v>23.357512000000003</v>
      </c>
    </row>
    <row r="41" spans="1:5">
      <c r="B41" s="10"/>
      <c r="C41" s="94"/>
    </row>
    <row r="42" spans="1:5">
      <c r="A42" t="s">
        <v>160</v>
      </c>
      <c r="B42" s="10"/>
    </row>
    <row r="43" spans="1:5">
      <c r="B43" t="s">
        <v>184</v>
      </c>
      <c r="C43">
        <v>311.44</v>
      </c>
    </row>
    <row r="44" spans="1:5">
      <c r="A44" s="10"/>
      <c r="B44" s="10" t="s">
        <v>159</v>
      </c>
      <c r="C44">
        <v>1024.57</v>
      </c>
    </row>
    <row r="45" spans="1:5">
      <c r="B45" s="10" t="s">
        <v>185</v>
      </c>
      <c r="C45">
        <v>160</v>
      </c>
    </row>
    <row r="46" spans="1:5">
      <c r="B46" s="10"/>
      <c r="C46">
        <f>(C45+C43+C44)</f>
        <v>1496.01</v>
      </c>
      <c r="D46" t="s">
        <v>122</v>
      </c>
      <c r="E46" s="94">
        <f>(C46*0.06)</f>
        <v>89.760599999999997</v>
      </c>
    </row>
    <row r="47" spans="1:5">
      <c r="B47" s="10"/>
    </row>
    <row r="48" spans="1:5">
      <c r="A48" t="s">
        <v>161</v>
      </c>
      <c r="B48">
        <f>3843.7+311.44+B66+B67</f>
        <v>4387.3599999999988</v>
      </c>
    </row>
    <row r="49" spans="1:5">
      <c r="A49" s="10"/>
      <c r="B49" s="10"/>
    </row>
    <row r="50" spans="1:5">
      <c r="B50" s="10"/>
    </row>
    <row r="51" spans="1:5">
      <c r="A51" t="s">
        <v>188</v>
      </c>
      <c r="B51" t="s">
        <v>189</v>
      </c>
      <c r="C51" s="94">
        <v>61.92</v>
      </c>
    </row>
    <row r="52" spans="1:5">
      <c r="B52" t="s">
        <v>190</v>
      </c>
      <c r="C52" s="94">
        <f>(C51*0.15*0.2)</f>
        <v>1.8576000000000001</v>
      </c>
    </row>
    <row r="54" spans="1:5">
      <c r="A54" s="10" t="s">
        <v>191</v>
      </c>
      <c r="B54" s="10" t="s">
        <v>192</v>
      </c>
      <c r="C54">
        <v>60</v>
      </c>
    </row>
    <row r="55" spans="1:5">
      <c r="B55" s="10" t="s">
        <v>95</v>
      </c>
      <c r="C55">
        <v>0.12</v>
      </c>
    </row>
    <row r="56" spans="1:5">
      <c r="B56" s="10" t="s">
        <v>193</v>
      </c>
      <c r="C56">
        <f>(C54*C55)</f>
        <v>7.1999999999999993</v>
      </c>
    </row>
    <row r="57" spans="1:5">
      <c r="B57" s="10"/>
    </row>
    <row r="58" spans="1:5">
      <c r="B58" s="10"/>
      <c r="C58" s="94"/>
    </row>
    <row r="59" spans="1:5">
      <c r="A59" t="s">
        <v>81</v>
      </c>
      <c r="B59" s="10" t="s">
        <v>193</v>
      </c>
      <c r="C59">
        <v>148.38</v>
      </c>
    </row>
    <row r="60" spans="1:5">
      <c r="B60" s="10" t="s">
        <v>122</v>
      </c>
      <c r="C60">
        <f>(C59*0.07)</f>
        <v>10.386600000000001</v>
      </c>
    </row>
    <row r="61" spans="1:5">
      <c r="A61" s="10"/>
    </row>
    <row r="62" spans="1:5">
      <c r="A62" s="10"/>
      <c r="B62" s="10"/>
      <c r="D62" s="10"/>
      <c r="E62" s="10"/>
    </row>
    <row r="63" spans="1:5">
      <c r="A63" s="10" t="s">
        <v>201</v>
      </c>
      <c r="B63" s="10"/>
      <c r="D63" s="10"/>
    </row>
    <row r="64" spans="1:5">
      <c r="A64" s="10"/>
      <c r="B64" s="10"/>
      <c r="D64" s="10"/>
    </row>
    <row r="65" spans="1:3">
      <c r="A65" t="s">
        <v>202</v>
      </c>
      <c r="B65">
        <f>(66.55*1)+(34.49*1.9)</f>
        <v>132.08100000000002</v>
      </c>
    </row>
    <row r="66" spans="1:3">
      <c r="A66" t="s">
        <v>203</v>
      </c>
      <c r="B66" s="10">
        <v>197.73</v>
      </c>
    </row>
    <row r="67" spans="1:3">
      <c r="A67" t="s">
        <v>204</v>
      </c>
      <c r="B67">
        <v>34.49</v>
      </c>
    </row>
    <row r="68" spans="1:3">
      <c r="A68" s="10"/>
      <c r="B68" s="10"/>
    </row>
    <row r="69" spans="1:3">
      <c r="B69" s="10"/>
    </row>
    <row r="70" spans="1:3">
      <c r="B70" s="10"/>
    </row>
    <row r="71" spans="1:3">
      <c r="A71" s="10" t="s">
        <v>214</v>
      </c>
      <c r="B71">
        <v>430.94</v>
      </c>
    </row>
    <row r="72" spans="1:3">
      <c r="B72" t="s">
        <v>215</v>
      </c>
      <c r="C72">
        <f>B71*0.15*0.15</f>
        <v>9.6961499999999976</v>
      </c>
    </row>
    <row r="76" spans="1:3">
      <c r="A76" t="s">
        <v>216</v>
      </c>
      <c r="B76" t="s">
        <v>217</v>
      </c>
    </row>
    <row r="77" spans="1:3">
      <c r="A77" t="s">
        <v>219</v>
      </c>
      <c r="B77">
        <v>5</v>
      </c>
    </row>
    <row r="80" spans="1:3">
      <c r="A80" t="s">
        <v>218</v>
      </c>
    </row>
    <row r="81" spans="1:1">
      <c r="A81">
        <f>1*0.5*5</f>
        <v>2.5</v>
      </c>
    </row>
  </sheetData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3"/>
  <dimension ref="B6:G90"/>
  <sheetViews>
    <sheetView topLeftCell="A22" zoomScale="85" zoomScaleNormal="85" workbookViewId="0">
      <selection activeCell="C82" sqref="C82"/>
    </sheetView>
  </sheetViews>
  <sheetFormatPr defaultRowHeight="12.75"/>
  <cols>
    <col min="2" max="2" width="16.28515625" customWidth="1"/>
    <col min="3" max="3" width="63.42578125" customWidth="1"/>
    <col min="4" max="4" width="6.28515625" customWidth="1"/>
    <col min="5" max="5" width="12.85546875" customWidth="1"/>
    <col min="6" max="6" width="11.85546875" customWidth="1"/>
    <col min="7" max="7" width="13.28515625" customWidth="1"/>
  </cols>
  <sheetData>
    <row r="6" spans="2:7" ht="38.450000000000003" customHeight="1"/>
    <row r="13" spans="2:7" ht="13.5" thickBot="1"/>
    <row r="14" spans="2:7">
      <c r="B14" s="78" t="s">
        <v>124</v>
      </c>
      <c r="C14" s="469" t="s">
        <v>120</v>
      </c>
      <c r="D14" s="470"/>
      <c r="E14" s="470"/>
      <c r="F14" s="471"/>
      <c r="G14" s="79" t="s">
        <v>74</v>
      </c>
    </row>
    <row r="15" spans="2:7" ht="38.25">
      <c r="B15" s="80" t="s">
        <v>79</v>
      </c>
      <c r="C15" s="81" t="s">
        <v>61</v>
      </c>
      <c r="D15" s="81" t="s">
        <v>40</v>
      </c>
      <c r="E15" s="81" t="s">
        <v>62</v>
      </c>
      <c r="F15" s="82" t="s">
        <v>63</v>
      </c>
      <c r="G15" s="83" t="s">
        <v>64</v>
      </c>
    </row>
    <row r="16" spans="2:7">
      <c r="B16" s="479" t="s">
        <v>73</v>
      </c>
      <c r="C16" s="480"/>
      <c r="D16" s="480"/>
      <c r="E16" s="480"/>
      <c r="F16" s="480"/>
      <c r="G16" s="481"/>
    </row>
    <row r="17" spans="2:7" ht="12.75" customHeight="1">
      <c r="B17" s="133" t="s">
        <v>177</v>
      </c>
      <c r="C17" s="10" t="s">
        <v>123</v>
      </c>
      <c r="D17" s="134" t="s">
        <v>68</v>
      </c>
      <c r="E17" s="135">
        <v>15</v>
      </c>
      <c r="F17" s="127">
        <v>14.57</v>
      </c>
      <c r="G17" s="91">
        <f>TRUNC(E17*F17,2)</f>
        <v>218.55</v>
      </c>
    </row>
    <row r="18" spans="2:7">
      <c r="B18" s="136" t="s">
        <v>118</v>
      </c>
      <c r="C18" s="10" t="s">
        <v>117</v>
      </c>
      <c r="D18" s="125" t="s">
        <v>68</v>
      </c>
      <c r="E18" s="126">
        <v>5</v>
      </c>
      <c r="F18" s="127">
        <v>2.92</v>
      </c>
      <c r="G18" s="91">
        <f>TRUNC(E18*F18,2)</f>
        <v>14.6</v>
      </c>
    </row>
    <row r="19" spans="2:7">
      <c r="B19" s="136" t="s">
        <v>116</v>
      </c>
      <c r="C19" s="10" t="s">
        <v>115</v>
      </c>
      <c r="D19" s="140" t="s">
        <v>40</v>
      </c>
      <c r="E19" s="144">
        <v>7.4999999999999997E-2</v>
      </c>
      <c r="F19" s="127">
        <v>175.65</v>
      </c>
      <c r="G19" s="91">
        <f>TRUNC(E19*F19,2)</f>
        <v>13.17</v>
      </c>
    </row>
    <row r="20" spans="2:7">
      <c r="B20" s="479" t="s">
        <v>65</v>
      </c>
      <c r="C20" s="480"/>
      <c r="D20" s="480"/>
      <c r="E20" s="480"/>
      <c r="F20" s="480"/>
      <c r="G20" s="481"/>
    </row>
    <row r="21" spans="2:7" ht="13.5" thickBot="1">
      <c r="B21" s="129" t="s">
        <v>75</v>
      </c>
      <c r="C21" s="93" t="s">
        <v>76</v>
      </c>
      <c r="D21" s="85" t="s">
        <v>68</v>
      </c>
      <c r="E21" s="130">
        <v>1.5</v>
      </c>
      <c r="F21" s="128">
        <v>18.18</v>
      </c>
      <c r="G21" s="92">
        <f>TRUNC(E21*F21,2)</f>
        <v>27.27</v>
      </c>
    </row>
    <row r="22" spans="2:7" ht="16.5" thickBot="1">
      <c r="B22" s="485" t="s">
        <v>119</v>
      </c>
      <c r="C22" s="483"/>
      <c r="D22" s="483"/>
      <c r="E22" s="484"/>
      <c r="F22" s="86" t="s">
        <v>72</v>
      </c>
      <c r="G22" s="87">
        <f>SUM(G17:G21)</f>
        <v>273.58999999999997</v>
      </c>
    </row>
    <row r="27" spans="2:7" ht="13.5" thickBot="1"/>
    <row r="28" spans="2:7" ht="24" customHeight="1">
      <c r="B28" s="78" t="s">
        <v>109</v>
      </c>
      <c r="C28" s="469" t="s">
        <v>103</v>
      </c>
      <c r="D28" s="470"/>
      <c r="E28" s="470"/>
      <c r="F28" s="471"/>
      <c r="G28" s="79" t="s">
        <v>59</v>
      </c>
    </row>
    <row r="29" spans="2:7" ht="38.25">
      <c r="B29" s="80" t="s">
        <v>79</v>
      </c>
      <c r="C29" s="81" t="s">
        <v>61</v>
      </c>
      <c r="D29" s="81" t="s">
        <v>40</v>
      </c>
      <c r="E29" s="81" t="s">
        <v>62</v>
      </c>
      <c r="F29" s="82" t="s">
        <v>63</v>
      </c>
      <c r="G29" s="83" t="s">
        <v>64</v>
      </c>
    </row>
    <row r="30" spans="2:7">
      <c r="B30" s="479" t="s">
        <v>73</v>
      </c>
      <c r="C30" s="480"/>
      <c r="D30" s="480"/>
      <c r="E30" s="480"/>
      <c r="F30" s="480"/>
      <c r="G30" s="481"/>
    </row>
    <row r="31" spans="2:7">
      <c r="B31" s="133" t="s">
        <v>104</v>
      </c>
      <c r="C31" s="132" t="s">
        <v>82</v>
      </c>
      <c r="D31" s="134" t="s">
        <v>38</v>
      </c>
      <c r="E31" s="135">
        <v>0.33</v>
      </c>
      <c r="F31" s="127">
        <v>3.75</v>
      </c>
      <c r="G31" s="91">
        <f>TRUNC(E31*F31,2)</f>
        <v>1.23</v>
      </c>
    </row>
    <row r="32" spans="2:7">
      <c r="B32" s="136" t="s">
        <v>106</v>
      </c>
      <c r="C32" s="137" t="s">
        <v>105</v>
      </c>
      <c r="D32" s="125" t="s">
        <v>38</v>
      </c>
      <c r="E32" s="126">
        <v>4</v>
      </c>
      <c r="F32" s="127">
        <v>1.18</v>
      </c>
      <c r="G32" s="91">
        <f>TRUNC(E32*F32,2)</f>
        <v>4.72</v>
      </c>
    </row>
    <row r="33" spans="2:7" ht="25.5">
      <c r="B33" s="136" t="s">
        <v>108</v>
      </c>
      <c r="C33" s="138" t="s">
        <v>107</v>
      </c>
      <c r="D33" s="140" t="s">
        <v>40</v>
      </c>
      <c r="E33" s="126">
        <v>6.56</v>
      </c>
      <c r="F33" s="127">
        <v>8.58</v>
      </c>
      <c r="G33" s="91">
        <f>TRUNC(E33*F33,2)</f>
        <v>56.28</v>
      </c>
    </row>
    <row r="34" spans="2:7">
      <c r="B34" s="479" t="s">
        <v>65</v>
      </c>
      <c r="C34" s="480"/>
      <c r="D34" s="480"/>
      <c r="E34" s="480"/>
      <c r="F34" s="480"/>
      <c r="G34" s="481"/>
    </row>
    <row r="35" spans="2:7" ht="13.5" thickBot="1">
      <c r="B35" s="129" t="s">
        <v>77</v>
      </c>
      <c r="C35" s="93" t="s">
        <v>78</v>
      </c>
      <c r="D35" s="125" t="s">
        <v>68</v>
      </c>
      <c r="E35" s="126">
        <v>1.2</v>
      </c>
      <c r="F35" s="127">
        <v>14.71</v>
      </c>
      <c r="G35" s="91">
        <f>TRUNC(E35*F35,2)</f>
        <v>17.649999999999999</v>
      </c>
    </row>
    <row r="36" spans="2:7" ht="13.5" thickBot="1">
      <c r="B36" s="129" t="s">
        <v>75</v>
      </c>
      <c r="C36" s="93" t="s">
        <v>76</v>
      </c>
      <c r="D36" s="85" t="s">
        <v>68</v>
      </c>
      <c r="E36" s="130">
        <v>0.5</v>
      </c>
      <c r="F36" s="128">
        <v>18.18</v>
      </c>
      <c r="G36" s="92">
        <f>TRUNC(E36*F36,2)</f>
        <v>9.09</v>
      </c>
    </row>
    <row r="37" spans="2:7" ht="16.5" thickBot="1">
      <c r="B37" s="482" t="s">
        <v>294</v>
      </c>
      <c r="C37" s="483"/>
      <c r="D37" s="483"/>
      <c r="E37" s="484"/>
      <c r="F37" s="86" t="s">
        <v>72</v>
      </c>
      <c r="G37" s="87">
        <f>SUM(G31:G36)</f>
        <v>88.97</v>
      </c>
    </row>
    <row r="38" spans="2:7">
      <c r="B38" s="106"/>
      <c r="C38" s="88"/>
      <c r="D38" s="88"/>
      <c r="E38" s="88"/>
      <c r="F38" s="89"/>
      <c r="G38" s="89"/>
    </row>
    <row r="39" spans="2:7" ht="13.5" thickBot="1">
      <c r="B39" s="107"/>
      <c r="C39" s="106"/>
      <c r="D39" s="108"/>
      <c r="E39" s="108"/>
      <c r="F39" s="109"/>
      <c r="G39" s="109"/>
    </row>
    <row r="40" spans="2:7" ht="24" customHeight="1">
      <c r="B40" s="78" t="s">
        <v>110</v>
      </c>
      <c r="C40" s="469" t="s">
        <v>125</v>
      </c>
      <c r="D40" s="470"/>
      <c r="E40" s="470"/>
      <c r="F40" s="471"/>
      <c r="G40" s="79" t="s">
        <v>40</v>
      </c>
    </row>
    <row r="41" spans="2:7" ht="38.25">
      <c r="B41" s="80" t="s">
        <v>79</v>
      </c>
      <c r="C41" s="81" t="s">
        <v>61</v>
      </c>
      <c r="D41" s="81" t="s">
        <v>40</v>
      </c>
      <c r="E41" s="81" t="s">
        <v>62</v>
      </c>
      <c r="F41" s="82" t="s">
        <v>63</v>
      </c>
      <c r="G41" s="83" t="s">
        <v>64</v>
      </c>
    </row>
    <row r="42" spans="2:7">
      <c r="B42" s="479" t="s">
        <v>73</v>
      </c>
      <c r="C42" s="480"/>
      <c r="D42" s="480"/>
      <c r="E42" s="480"/>
      <c r="F42" s="480"/>
      <c r="G42" s="481"/>
    </row>
    <row r="43" spans="2:7">
      <c r="B43" s="133" t="s">
        <v>126</v>
      </c>
      <c r="C43" s="132" t="s">
        <v>127</v>
      </c>
      <c r="D43" s="134" t="s">
        <v>74</v>
      </c>
      <c r="E43" s="135">
        <v>0.26</v>
      </c>
      <c r="F43" s="127">
        <v>385.81</v>
      </c>
      <c r="G43" s="91">
        <f t="shared" ref="G43:G48" si="0">TRUNC(E43*F43,2)</f>
        <v>100.31</v>
      </c>
    </row>
    <row r="44" spans="2:7">
      <c r="B44" s="133" t="s">
        <v>83</v>
      </c>
      <c r="C44" s="132" t="s">
        <v>111</v>
      </c>
      <c r="D44" s="134" t="s">
        <v>59</v>
      </c>
      <c r="E44" s="135">
        <v>1.2</v>
      </c>
      <c r="F44" s="127">
        <v>12.53</v>
      </c>
      <c r="G44" s="91">
        <f t="shared" si="0"/>
        <v>15.03</v>
      </c>
    </row>
    <row r="45" spans="2:7">
      <c r="B45" s="136" t="s">
        <v>132</v>
      </c>
      <c r="C45" s="141" t="s">
        <v>131</v>
      </c>
      <c r="D45" s="134" t="s">
        <v>59</v>
      </c>
      <c r="E45" s="135">
        <v>2.64</v>
      </c>
      <c r="F45" s="142">
        <v>8.67</v>
      </c>
      <c r="G45" s="91">
        <f t="shared" si="0"/>
        <v>22.88</v>
      </c>
    </row>
    <row r="46" spans="2:7">
      <c r="B46" s="136" t="s">
        <v>128</v>
      </c>
      <c r="C46" s="141" t="s">
        <v>55</v>
      </c>
      <c r="D46" s="134" t="s">
        <v>74</v>
      </c>
      <c r="E46" s="135">
        <v>0.4</v>
      </c>
      <c r="F46" s="142">
        <v>58.19</v>
      </c>
      <c r="G46" s="91">
        <f t="shared" si="0"/>
        <v>23.27</v>
      </c>
    </row>
    <row r="47" spans="2:7">
      <c r="B47" s="136" t="s">
        <v>129</v>
      </c>
      <c r="C47" s="141" t="s">
        <v>130</v>
      </c>
      <c r="D47" s="134" t="s">
        <v>74</v>
      </c>
      <c r="E47" s="135">
        <v>0.4</v>
      </c>
      <c r="F47" s="142">
        <v>64.34</v>
      </c>
      <c r="G47" s="91">
        <f t="shared" si="0"/>
        <v>25.73</v>
      </c>
    </row>
    <row r="48" spans="2:7" ht="12.75" customHeight="1" thickBot="1">
      <c r="B48" s="136" t="s">
        <v>124</v>
      </c>
      <c r="C48" s="139" t="s">
        <v>121</v>
      </c>
      <c r="D48" s="143" t="s">
        <v>74</v>
      </c>
      <c r="E48" s="139">
        <v>0.17</v>
      </c>
      <c r="F48" s="139">
        <v>273.58999999999997</v>
      </c>
      <c r="G48" s="91">
        <f t="shared" si="0"/>
        <v>46.51</v>
      </c>
    </row>
    <row r="49" spans="2:7" ht="16.5" thickBot="1">
      <c r="B49" s="482" t="s">
        <v>225</v>
      </c>
      <c r="C49" s="483"/>
      <c r="D49" s="483"/>
      <c r="E49" s="484"/>
      <c r="F49" s="86" t="s">
        <v>72</v>
      </c>
      <c r="G49" s="87">
        <f>SUM(G43:G48)</f>
        <v>233.73</v>
      </c>
    </row>
    <row r="53" spans="2:7" ht="13.5" thickBot="1"/>
    <row r="54" spans="2:7">
      <c r="B54" s="145" t="s">
        <v>138</v>
      </c>
      <c r="C54" s="469" t="s">
        <v>139</v>
      </c>
      <c r="D54" s="470"/>
      <c r="E54" s="470"/>
      <c r="F54" s="471"/>
      <c r="G54" s="79" t="s">
        <v>31</v>
      </c>
    </row>
    <row r="55" spans="2:7" ht="38.25">
      <c r="B55" s="80" t="s">
        <v>79</v>
      </c>
      <c r="C55" s="82" t="s">
        <v>61</v>
      </c>
      <c r="D55" s="82" t="s">
        <v>40</v>
      </c>
      <c r="E55" s="82" t="s">
        <v>62</v>
      </c>
      <c r="F55" s="82" t="s">
        <v>63</v>
      </c>
      <c r="G55" s="83" t="s">
        <v>64</v>
      </c>
    </row>
    <row r="56" spans="2:7">
      <c r="B56" s="472" t="s">
        <v>73</v>
      </c>
      <c r="C56" s="473"/>
      <c r="D56" s="473"/>
      <c r="E56" s="473"/>
      <c r="F56" s="473"/>
      <c r="G56" s="474"/>
    </row>
    <row r="57" spans="2:7" ht="25.5">
      <c r="B57" s="154" t="s">
        <v>141</v>
      </c>
      <c r="C57" s="148" t="s">
        <v>140</v>
      </c>
      <c r="D57" s="125" t="s">
        <v>40</v>
      </c>
      <c r="E57" s="149">
        <v>1</v>
      </c>
      <c r="F57" s="146">
        <v>376.89</v>
      </c>
      <c r="G57" s="155">
        <f>TRUNC(E57*F57,2)</f>
        <v>376.89</v>
      </c>
    </row>
    <row r="58" spans="2:7" ht="38.25">
      <c r="B58" s="154" t="s">
        <v>178</v>
      </c>
      <c r="C58" s="148" t="s">
        <v>142</v>
      </c>
      <c r="D58" s="125" t="s">
        <v>74</v>
      </c>
      <c r="E58" s="151">
        <v>1.6E-2</v>
      </c>
      <c r="F58" s="146">
        <v>271.35000000000002</v>
      </c>
      <c r="G58" s="155">
        <f>TRUNC(E58*F58,2)</f>
        <v>4.34</v>
      </c>
    </row>
    <row r="59" spans="2:7" ht="25.5">
      <c r="B59" s="154" t="s">
        <v>128</v>
      </c>
      <c r="C59" s="148" t="s">
        <v>55</v>
      </c>
      <c r="D59" s="125" t="s">
        <v>74</v>
      </c>
      <c r="E59" s="151">
        <v>1.6E-2</v>
      </c>
      <c r="F59" s="146">
        <v>58.19</v>
      </c>
      <c r="G59" s="155">
        <f>TRUNC(E59*F59,2)</f>
        <v>0.93</v>
      </c>
    </row>
    <row r="60" spans="2:7">
      <c r="B60" s="472" t="s">
        <v>65</v>
      </c>
      <c r="C60" s="473"/>
      <c r="D60" s="473"/>
      <c r="E60" s="473"/>
      <c r="F60" s="473"/>
      <c r="G60" s="474"/>
    </row>
    <row r="61" spans="2:7" ht="13.5" thickBot="1">
      <c r="B61" s="150" t="s">
        <v>77</v>
      </c>
      <c r="C61" s="84" t="s">
        <v>78</v>
      </c>
      <c r="D61" s="125" t="s">
        <v>68</v>
      </c>
      <c r="E61" s="156">
        <v>0.3</v>
      </c>
      <c r="F61" s="146">
        <v>14.71</v>
      </c>
      <c r="G61" s="147">
        <f>TRUNC(E61*F61,2)</f>
        <v>4.41</v>
      </c>
    </row>
    <row r="62" spans="2:7" ht="13.5" thickBot="1">
      <c r="B62" s="129" t="s">
        <v>75</v>
      </c>
      <c r="C62" s="93" t="s">
        <v>76</v>
      </c>
      <c r="D62" s="85" t="s">
        <v>68</v>
      </c>
      <c r="E62" s="130">
        <v>0.3</v>
      </c>
      <c r="F62" s="128">
        <v>18.18</v>
      </c>
      <c r="G62" s="92">
        <f>TRUNC(E62*F62,2)</f>
        <v>5.45</v>
      </c>
    </row>
    <row r="63" spans="2:7" ht="16.5" thickBot="1">
      <c r="B63" s="478" t="s">
        <v>224</v>
      </c>
      <c r="C63" s="476"/>
      <c r="D63" s="476"/>
      <c r="E63" s="477"/>
      <c r="F63" s="152" t="s">
        <v>72</v>
      </c>
      <c r="G63" s="153">
        <f>SUM(G57:G62)</f>
        <v>392.02</v>
      </c>
    </row>
    <row r="66" spans="2:7" ht="13.5" thickBot="1"/>
    <row r="67" spans="2:7" ht="45.75" customHeight="1">
      <c r="B67" s="145" t="s">
        <v>165</v>
      </c>
      <c r="C67" s="469" t="s">
        <v>166</v>
      </c>
      <c r="D67" s="470"/>
      <c r="E67" s="470"/>
      <c r="F67" s="471"/>
      <c r="G67" s="79" t="s">
        <v>40</v>
      </c>
    </row>
    <row r="68" spans="2:7" ht="38.25">
      <c r="B68" s="80" t="s">
        <v>79</v>
      </c>
      <c r="C68" s="82" t="s">
        <v>61</v>
      </c>
      <c r="D68" s="82" t="s">
        <v>40</v>
      </c>
      <c r="E68" s="82" t="s">
        <v>62</v>
      </c>
      <c r="F68" s="82" t="s">
        <v>63</v>
      </c>
      <c r="G68" s="83" t="s">
        <v>64</v>
      </c>
    </row>
    <row r="69" spans="2:7">
      <c r="B69" s="472" t="s">
        <v>73</v>
      </c>
      <c r="C69" s="473"/>
      <c r="D69" s="473"/>
      <c r="E69" s="473"/>
      <c r="F69" s="473"/>
      <c r="G69" s="474"/>
    </row>
    <row r="70" spans="2:7" ht="38.25">
      <c r="B70" s="221" t="s">
        <v>168</v>
      </c>
      <c r="C70" s="221" t="s">
        <v>167</v>
      </c>
      <c r="D70" s="222" t="s">
        <v>40</v>
      </c>
      <c r="E70" s="149">
        <v>1</v>
      </c>
      <c r="F70" s="223">
        <v>647.66</v>
      </c>
      <c r="G70" s="220">
        <f>TRUNC(E70*F70,2)</f>
        <v>647.66</v>
      </c>
    </row>
    <row r="71" spans="2:7" ht="25.5">
      <c r="B71" s="221" t="s">
        <v>169</v>
      </c>
      <c r="C71" s="221" t="s">
        <v>170</v>
      </c>
      <c r="D71" s="222" t="s">
        <v>40</v>
      </c>
      <c r="E71" s="151">
        <v>1</v>
      </c>
      <c r="F71" s="137">
        <v>300.14999999999998</v>
      </c>
      <c r="G71" s="220">
        <f>TRUNC(E71*F71,2)</f>
        <v>300.14999999999998</v>
      </c>
    </row>
    <row r="72" spans="2:7">
      <c r="B72" s="222">
        <v>3755</v>
      </c>
      <c r="C72" s="221" t="s">
        <v>180</v>
      </c>
      <c r="D72" s="222" t="s">
        <v>40</v>
      </c>
      <c r="E72" s="151">
        <v>1</v>
      </c>
      <c r="F72" s="146">
        <v>14.16</v>
      </c>
      <c r="G72" s="220">
        <f>TRUNC(E72*F72,2)</f>
        <v>14.16</v>
      </c>
    </row>
    <row r="73" spans="2:7">
      <c r="B73" s="472" t="s">
        <v>65</v>
      </c>
      <c r="C73" s="473"/>
      <c r="D73" s="473"/>
      <c r="E73" s="473"/>
      <c r="F73" s="473"/>
      <c r="G73" s="474"/>
    </row>
    <row r="74" spans="2:7" ht="13.5" thickBot="1">
      <c r="B74" s="150" t="s">
        <v>77</v>
      </c>
      <c r="C74" s="84" t="s">
        <v>78</v>
      </c>
      <c r="D74" s="125" t="s">
        <v>68</v>
      </c>
      <c r="E74" s="156">
        <v>1.5</v>
      </c>
      <c r="F74" s="146">
        <v>14.71</v>
      </c>
      <c r="G74" s="147">
        <f>TRUNC(E74*F74,2)</f>
        <v>22.06</v>
      </c>
    </row>
    <row r="75" spans="2:7" ht="13.5" thickBot="1">
      <c r="B75" s="129" t="s">
        <v>223</v>
      </c>
      <c r="C75" s="93" t="s">
        <v>80</v>
      </c>
      <c r="D75" s="85" t="s">
        <v>68</v>
      </c>
      <c r="E75" s="130">
        <v>1.5</v>
      </c>
      <c r="F75" s="128">
        <v>18.850000000000001</v>
      </c>
      <c r="G75" s="92">
        <f>TRUNC(E75*F75,2)</f>
        <v>28.27</v>
      </c>
    </row>
    <row r="76" spans="2:7" ht="16.5" customHeight="1" thickBot="1">
      <c r="B76" s="475" t="s">
        <v>295</v>
      </c>
      <c r="C76" s="476"/>
      <c r="D76" s="476"/>
      <c r="E76" s="477"/>
      <c r="F76" s="152" t="s">
        <v>72</v>
      </c>
      <c r="G76" s="153">
        <f>SUM(G70:G75)</f>
        <v>1012.2999999999998</v>
      </c>
    </row>
    <row r="78" spans="2:7" ht="13.5" thickBot="1"/>
    <row r="79" spans="2:7">
      <c r="B79" s="145" t="s">
        <v>278</v>
      </c>
      <c r="C79" s="469" t="s">
        <v>166</v>
      </c>
      <c r="D79" s="470"/>
      <c r="E79" s="470"/>
      <c r="F79" s="471"/>
      <c r="G79" s="79" t="s">
        <v>40</v>
      </c>
    </row>
    <row r="80" spans="2:7" ht="38.25">
      <c r="B80" s="80" t="s">
        <v>79</v>
      </c>
      <c r="C80" s="82" t="s">
        <v>61</v>
      </c>
      <c r="D80" s="82" t="s">
        <v>40</v>
      </c>
      <c r="E80" s="82" t="s">
        <v>62</v>
      </c>
      <c r="F80" s="82" t="s">
        <v>63</v>
      </c>
      <c r="G80" s="83" t="s">
        <v>64</v>
      </c>
    </row>
    <row r="81" spans="2:7">
      <c r="B81" s="472" t="s">
        <v>73</v>
      </c>
      <c r="C81" s="473"/>
      <c r="D81" s="473"/>
      <c r="E81" s="473"/>
      <c r="F81" s="473"/>
      <c r="G81" s="474"/>
    </row>
    <row r="82" spans="2:7">
      <c r="B82" s="221" t="s">
        <v>168</v>
      </c>
      <c r="C82" s="221" t="s">
        <v>280</v>
      </c>
      <c r="D82" s="90" t="s">
        <v>68</v>
      </c>
      <c r="E82" s="149">
        <v>1.22</v>
      </c>
      <c r="F82" s="223">
        <v>174.97</v>
      </c>
      <c r="G82" s="220">
        <f>TRUNC(E82*F82,2)</f>
        <v>213.46</v>
      </c>
    </row>
    <row r="83" spans="2:7" ht="38.25">
      <c r="B83" s="221" t="s">
        <v>281</v>
      </c>
      <c r="C83" s="221" t="s">
        <v>284</v>
      </c>
      <c r="D83" s="237" t="s">
        <v>40</v>
      </c>
      <c r="E83" s="149">
        <v>1</v>
      </c>
      <c r="F83" s="238">
        <v>3097.25</v>
      </c>
      <c r="G83" s="220">
        <f t="shared" ref="G83:G87" si="1">TRUNC(E83*F83,2)</f>
        <v>3097.25</v>
      </c>
    </row>
    <row r="84" spans="2:7">
      <c r="B84" s="221" t="s">
        <v>289</v>
      </c>
      <c r="C84" s="221" t="s">
        <v>285</v>
      </c>
      <c r="D84" s="222" t="s">
        <v>40</v>
      </c>
      <c r="E84" s="149">
        <v>4</v>
      </c>
      <c r="F84" s="137">
        <v>119.11</v>
      </c>
      <c r="G84" s="220">
        <f t="shared" si="1"/>
        <v>476.44</v>
      </c>
    </row>
    <row r="85" spans="2:7" ht="25.5">
      <c r="B85" s="221" t="s">
        <v>290</v>
      </c>
      <c r="C85" s="221" t="s">
        <v>286</v>
      </c>
      <c r="D85" s="222" t="s">
        <v>40</v>
      </c>
      <c r="E85" s="149">
        <v>4</v>
      </c>
      <c r="F85" s="137">
        <v>24.19</v>
      </c>
      <c r="G85" s="220">
        <f t="shared" si="1"/>
        <v>96.76</v>
      </c>
    </row>
    <row r="86" spans="2:7">
      <c r="B86" s="221" t="s">
        <v>291</v>
      </c>
      <c r="C86" s="221" t="s">
        <v>287</v>
      </c>
      <c r="D86" s="222" t="s">
        <v>40</v>
      </c>
      <c r="E86" s="149">
        <v>4</v>
      </c>
      <c r="F86" s="137">
        <v>39.15</v>
      </c>
      <c r="G86" s="220">
        <f t="shared" si="1"/>
        <v>156.6</v>
      </c>
    </row>
    <row r="87" spans="2:7">
      <c r="B87" s="221" t="s">
        <v>292</v>
      </c>
      <c r="C87" s="221" t="s">
        <v>288</v>
      </c>
      <c r="D87" s="222" t="s">
        <v>40</v>
      </c>
      <c r="E87" s="156">
        <v>1</v>
      </c>
      <c r="F87" s="137">
        <v>750.85</v>
      </c>
      <c r="G87" s="220">
        <f t="shared" si="1"/>
        <v>750.85</v>
      </c>
    </row>
    <row r="88" spans="2:7">
      <c r="B88" s="472" t="s">
        <v>65</v>
      </c>
      <c r="C88" s="473"/>
      <c r="D88" s="473"/>
      <c r="E88" s="473"/>
      <c r="F88" s="473"/>
      <c r="G88" s="474"/>
    </row>
    <row r="89" spans="2:7" ht="13.5" thickBot="1">
      <c r="B89" s="236" t="s">
        <v>283</v>
      </c>
      <c r="C89" s="236" t="s">
        <v>282</v>
      </c>
      <c r="D89" s="85" t="s">
        <v>68</v>
      </c>
      <c r="E89" s="156">
        <v>3</v>
      </c>
      <c r="F89" s="137">
        <v>55.43</v>
      </c>
      <c r="G89" s="235">
        <f>TRUNC(E89*F89,2)</f>
        <v>166.29</v>
      </c>
    </row>
    <row r="90" spans="2:7" ht="16.5" thickBot="1">
      <c r="B90" s="475" t="s">
        <v>293</v>
      </c>
      <c r="C90" s="476"/>
      <c r="D90" s="476"/>
      <c r="E90" s="477"/>
      <c r="F90" s="152" t="s">
        <v>72</v>
      </c>
      <c r="G90" s="153">
        <f>SUM(G82:G89)</f>
        <v>4957.6500000000005</v>
      </c>
    </row>
  </sheetData>
  <mergeCells count="23">
    <mergeCell ref="C14:F14"/>
    <mergeCell ref="C40:F40"/>
    <mergeCell ref="C28:F28"/>
    <mergeCell ref="B30:G30"/>
    <mergeCell ref="B34:G34"/>
    <mergeCell ref="B37:E37"/>
    <mergeCell ref="B42:G42"/>
    <mergeCell ref="B49:E49"/>
    <mergeCell ref="B16:G16"/>
    <mergeCell ref="B20:G20"/>
    <mergeCell ref="B22:E22"/>
    <mergeCell ref="C79:F79"/>
    <mergeCell ref="B81:G81"/>
    <mergeCell ref="B88:G88"/>
    <mergeCell ref="B90:E90"/>
    <mergeCell ref="C54:F54"/>
    <mergeCell ref="B56:G56"/>
    <mergeCell ref="C67:F67"/>
    <mergeCell ref="B69:G69"/>
    <mergeCell ref="B73:G73"/>
    <mergeCell ref="B76:E76"/>
    <mergeCell ref="B60:G60"/>
    <mergeCell ref="B63:E63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5"/>
  <dimension ref="B1:J13"/>
  <sheetViews>
    <sheetView view="pageBreakPreview" zoomScaleSheetLayoutView="100" workbookViewId="0">
      <selection activeCell="C5" sqref="C5:H5"/>
    </sheetView>
  </sheetViews>
  <sheetFormatPr defaultRowHeight="12.75"/>
  <cols>
    <col min="2" max="2" width="0.7109375" customWidth="1"/>
    <col min="3" max="3" width="21.85546875" customWidth="1"/>
    <col min="4" max="4" width="54.140625" bestFit="1" customWidth="1"/>
    <col min="5" max="5" width="15" customWidth="1"/>
    <col min="6" max="6" width="38.42578125" customWidth="1"/>
    <col min="7" max="7" width="11.5703125" bestFit="1" customWidth="1"/>
    <col min="8" max="8" width="11.42578125" customWidth="1"/>
    <col min="9" max="9" width="0.7109375" customWidth="1"/>
  </cols>
  <sheetData>
    <row r="1" spans="2:10" ht="18.75" customHeight="1" thickBot="1"/>
    <row r="2" spans="2:10" ht="3.75" customHeight="1" thickBot="1">
      <c r="B2" s="100"/>
      <c r="C2" s="101"/>
      <c r="D2" s="101"/>
      <c r="E2" s="102"/>
      <c r="F2" s="101"/>
      <c r="G2" s="101"/>
      <c r="H2" s="101"/>
      <c r="I2" s="103"/>
      <c r="J2" s="76"/>
    </row>
    <row r="3" spans="2:10" ht="18">
      <c r="B3" s="104"/>
      <c r="C3" s="487" t="s">
        <v>56</v>
      </c>
      <c r="D3" s="488"/>
      <c r="E3" s="488"/>
      <c r="F3" s="488"/>
      <c r="G3" s="488"/>
      <c r="H3" s="489"/>
      <c r="I3" s="105"/>
      <c r="J3" s="76"/>
    </row>
    <row r="4" spans="2:10">
      <c r="B4" s="104"/>
      <c r="C4" s="490" t="s">
        <v>398</v>
      </c>
      <c r="D4" s="491"/>
      <c r="E4" s="491"/>
      <c r="F4" s="491"/>
      <c r="G4" s="491"/>
      <c r="H4" s="492"/>
      <c r="I4" s="105"/>
      <c r="J4" s="76"/>
    </row>
    <row r="5" spans="2:10" ht="13.5" thickBot="1">
      <c r="B5" s="104"/>
      <c r="C5" s="493" t="s">
        <v>395</v>
      </c>
      <c r="D5" s="494"/>
      <c r="E5" s="494"/>
      <c r="F5" s="494"/>
      <c r="G5" s="494"/>
      <c r="H5" s="495"/>
      <c r="I5" s="105"/>
      <c r="J5" s="76"/>
    </row>
    <row r="6" spans="2:10" ht="13.5" thickBot="1">
      <c r="B6" s="104"/>
      <c r="C6" s="51"/>
      <c r="D6" s="51"/>
      <c r="E6" s="77"/>
      <c r="F6" s="51"/>
      <c r="G6" s="51"/>
      <c r="H6" s="51"/>
      <c r="I6" s="105"/>
      <c r="J6" s="76"/>
    </row>
    <row r="7" spans="2:10">
      <c r="B7" s="104"/>
      <c r="C7" s="78" t="s">
        <v>57</v>
      </c>
      <c r="D7" s="496" t="s">
        <v>58</v>
      </c>
      <c r="E7" s="496"/>
      <c r="F7" s="496"/>
      <c r="G7" s="496"/>
      <c r="H7" s="79" t="s">
        <v>59</v>
      </c>
      <c r="I7" s="105"/>
      <c r="J7" s="76"/>
    </row>
    <row r="8" spans="2:10" ht="25.5">
      <c r="B8" s="104"/>
      <c r="C8" s="80" t="s">
        <v>60</v>
      </c>
      <c r="D8" s="81" t="s">
        <v>61</v>
      </c>
      <c r="E8" s="81" t="s">
        <v>40</v>
      </c>
      <c r="F8" s="81" t="s">
        <v>62</v>
      </c>
      <c r="G8" s="82" t="s">
        <v>63</v>
      </c>
      <c r="H8" s="83" t="s">
        <v>64</v>
      </c>
      <c r="I8" s="105"/>
      <c r="J8" s="76"/>
    </row>
    <row r="9" spans="2:10">
      <c r="B9" s="104"/>
      <c r="C9" s="479" t="s">
        <v>65</v>
      </c>
      <c r="D9" s="480"/>
      <c r="E9" s="480"/>
      <c r="F9" s="480"/>
      <c r="G9" s="480"/>
      <c r="H9" s="481"/>
      <c r="I9" s="105"/>
      <c r="J9" s="76"/>
    </row>
    <row r="10" spans="2:10" ht="25.5">
      <c r="B10" s="104"/>
      <c r="C10" s="123" t="s">
        <v>66</v>
      </c>
      <c r="D10" s="124" t="s">
        <v>67</v>
      </c>
      <c r="E10" s="125" t="s">
        <v>68</v>
      </c>
      <c r="F10" s="126">
        <v>160</v>
      </c>
      <c r="G10" s="127">
        <v>22.22</v>
      </c>
      <c r="H10" s="91">
        <f>TRUNC(F10*G10,2)</f>
        <v>3555.2</v>
      </c>
      <c r="I10" s="105"/>
      <c r="J10" s="76"/>
    </row>
    <row r="11" spans="2:10" ht="26.25" thickBot="1">
      <c r="B11" s="104"/>
      <c r="C11" s="123" t="s">
        <v>69</v>
      </c>
      <c r="D11" s="84" t="s">
        <v>70</v>
      </c>
      <c r="E11" s="85" t="s">
        <v>68</v>
      </c>
      <c r="F11" s="126">
        <v>24</v>
      </c>
      <c r="G11" s="128">
        <v>80.25</v>
      </c>
      <c r="H11" s="92">
        <f>TRUNC(F11*G11,2)</f>
        <v>1926</v>
      </c>
      <c r="I11" s="105"/>
      <c r="J11" s="76"/>
    </row>
    <row r="12" spans="2:10" ht="16.5" thickBot="1">
      <c r="B12" s="104"/>
      <c r="C12" s="486" t="s">
        <v>71</v>
      </c>
      <c r="D12" s="483"/>
      <c r="E12" s="483"/>
      <c r="F12" s="484"/>
      <c r="G12" s="86" t="s">
        <v>72</v>
      </c>
      <c r="H12" s="87">
        <f>SUM(H10:H11)</f>
        <v>5481.2</v>
      </c>
      <c r="I12" s="105"/>
      <c r="J12" s="76"/>
    </row>
    <row r="13" spans="2:10">
      <c r="B13" s="104"/>
      <c r="C13" s="106"/>
      <c r="D13" s="88"/>
      <c r="E13" s="88"/>
      <c r="F13" s="88"/>
      <c r="G13" s="89"/>
      <c r="H13" s="89"/>
      <c r="I13" s="105"/>
      <c r="J13" s="76"/>
    </row>
  </sheetData>
  <mergeCells count="6">
    <mergeCell ref="C12:F12"/>
    <mergeCell ref="C3:H3"/>
    <mergeCell ref="C4:H4"/>
    <mergeCell ref="C5:H5"/>
    <mergeCell ref="D7:G7"/>
    <mergeCell ref="C9:H9"/>
  </mergeCells>
  <printOptions horizontalCentered="1"/>
  <pageMargins left="0.51181102362204722" right="0.51181102362204722" top="0.78740157480314965" bottom="0.78740157480314965" header="0.31496062992125984" footer="0.31496062992125984"/>
  <pageSetup paperSize="9" scale="5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8</vt:i4>
      </vt:variant>
      <vt:variant>
        <vt:lpstr>Intervalos nomeados</vt:lpstr>
      </vt:variant>
      <vt:variant>
        <vt:i4>8</vt:i4>
      </vt:variant>
    </vt:vector>
  </HeadingPairs>
  <TitlesOfParts>
    <vt:vector size="16" baseType="lpstr">
      <vt:lpstr>Orçamento</vt:lpstr>
      <vt:lpstr>RESUMO</vt:lpstr>
      <vt:lpstr>CRON</vt:lpstr>
      <vt:lpstr>ENCARGOS</vt:lpstr>
      <vt:lpstr>BDI</vt:lpstr>
      <vt:lpstr>Memória de Cálculo</vt:lpstr>
      <vt:lpstr>Composições</vt:lpstr>
      <vt:lpstr>COMPOSIÇÃO</vt:lpstr>
      <vt:lpstr>COMPOSIÇÃO!Area_de_impressao</vt:lpstr>
      <vt:lpstr>CRON!Area_de_impressao</vt:lpstr>
      <vt:lpstr>Orçamento!Area_de_impressao</vt:lpstr>
      <vt:lpstr>RESUMO!Area_de_impressao</vt:lpstr>
      <vt:lpstr>COMPOSIÇÃO!Titulos_de_impressao</vt:lpstr>
      <vt:lpstr>CRON!Titulos_de_impressao</vt:lpstr>
      <vt:lpstr>Orçamento!Titulos_de_impressao</vt:lpstr>
      <vt:lpstr>RESUMO!Titulos_de_impressao</vt:lpstr>
    </vt:vector>
  </TitlesOfParts>
  <Company>b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Weverton</cp:lastModifiedBy>
  <cp:lastPrinted>2020-01-09T17:45:48Z</cp:lastPrinted>
  <dcterms:created xsi:type="dcterms:W3CDTF">1998-04-12T12:31:25Z</dcterms:created>
  <dcterms:modified xsi:type="dcterms:W3CDTF">2020-02-06T18:31:23Z</dcterms:modified>
</cp:coreProperties>
</file>