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72" windowWidth="9180" windowHeight="3480" tabRatio="601" activeTab="1"/>
  </bookViews>
  <sheets>
    <sheet name="RESUMO" sheetId="22" r:id="rId1"/>
    <sheet name="planilha de orçamento" sheetId="19" r:id="rId2"/>
    <sheet name="COMPOSIÇÃO" sheetId="23" r:id="rId3"/>
    <sheet name="CRON" sheetId="21" r:id="rId4"/>
  </sheets>
  <definedNames>
    <definedName name="_xlnm.Print_Area" localSheetId="2">COMPOSIÇÃO!$B$2:$G$32</definedName>
    <definedName name="_xlnm.Print_Area" localSheetId="3">CRON!$A$1:$J$37</definedName>
    <definedName name="_xlnm.Print_Area" localSheetId="1">'planilha de orçamento'!$B$2:$I$49</definedName>
    <definedName name="_xlnm.Print_Area" localSheetId="0">RESUMO!$A$2:$E$25</definedName>
    <definedName name="_xlnm.Print_Titles" localSheetId="2">COMPOSIÇÃO!$3:$6</definedName>
    <definedName name="_xlnm.Print_Titles" localSheetId="3">CRON!$1:$9</definedName>
    <definedName name="_xlnm.Print_Titles" localSheetId="1">'planilha de orçamento'!$B:$I,'planilha de orçamento'!$2:$15</definedName>
    <definedName name="_xlnm.Print_Titles" localSheetId="0">RESUMO!$2:$7</definedName>
  </definedNames>
  <calcPr calcId="124519"/>
</workbook>
</file>

<file path=xl/calcChain.xml><?xml version="1.0" encoding="utf-8"?>
<calcChain xmlns="http://schemas.openxmlformats.org/spreadsheetml/2006/main">
  <c r="F31" i="21"/>
  <c r="E19"/>
  <c r="F21" s="1"/>
  <c r="I43" i="19"/>
  <c r="F41"/>
  <c r="K41"/>
  <c r="H41"/>
  <c r="K40"/>
  <c r="I40"/>
  <c r="H40"/>
  <c r="K27"/>
  <c r="G27"/>
  <c r="K26"/>
  <c r="I26"/>
  <c r="I27" s="1"/>
  <c r="H26"/>
  <c r="G18" i="23"/>
  <c r="I33" i="19"/>
  <c r="F32"/>
  <c r="K32"/>
  <c r="H32"/>
  <c r="F31"/>
  <c r="K31"/>
  <c r="H31"/>
  <c r="F30"/>
  <c r="F29"/>
  <c r="K30"/>
  <c r="H30"/>
  <c r="G30" i="23"/>
  <c r="G29"/>
  <c r="G27"/>
  <c r="G26"/>
  <c r="G25"/>
  <c r="G19"/>
  <c r="G20" s="1"/>
  <c r="B5" i="22"/>
  <c r="B4"/>
  <c r="K42" i="19"/>
  <c r="H42"/>
  <c r="I42" s="1"/>
  <c r="I41" l="1"/>
  <c r="I32"/>
  <c r="I31"/>
  <c r="I30"/>
  <c r="G31" i="23"/>
  <c r="F45" i="19" l="1"/>
  <c r="G12" i="23"/>
  <c r="G11"/>
  <c r="G13" l="1"/>
  <c r="K21" i="19"/>
  <c r="H21"/>
  <c r="I21" s="1"/>
  <c r="I24" s="1"/>
  <c r="K23" l="1"/>
  <c r="H23"/>
  <c r="I23" s="1"/>
  <c r="K39"/>
  <c r="H39"/>
  <c r="I39" s="1"/>
  <c r="K38"/>
  <c r="H38"/>
  <c r="I38" s="1"/>
  <c r="K37"/>
  <c r="H37"/>
  <c r="I37" s="1"/>
  <c r="H17" l="1"/>
  <c r="I17" s="1"/>
  <c r="I18" s="1"/>
  <c r="K17"/>
  <c r="K18" s="1"/>
  <c r="J18" s="1"/>
  <c r="G18"/>
  <c r="K36" l="1"/>
  <c r="H36"/>
  <c r="I36" s="1"/>
  <c r="K43"/>
  <c r="J43" s="1"/>
  <c r="G43"/>
  <c r="K35"/>
  <c r="H35"/>
  <c r="I35" s="1"/>
  <c r="E20" i="22" l="1"/>
  <c r="E25" i="21" l="1"/>
  <c r="F27" s="1"/>
  <c r="K45" i="19"/>
  <c r="H45"/>
  <c r="I45" s="1"/>
  <c r="G27" i="21" l="1"/>
  <c r="G31" s="1"/>
  <c r="H27"/>
  <c r="I27"/>
  <c r="B7" i="22"/>
  <c r="E7"/>
  <c r="H29" i="19"/>
  <c r="I29" s="1"/>
  <c r="G33"/>
  <c r="K29"/>
  <c r="K33" s="1"/>
  <c r="H46"/>
  <c r="I46" s="1"/>
  <c r="I47" s="1"/>
  <c r="I48" s="1"/>
  <c r="H20"/>
  <c r="I20" s="1"/>
  <c r="H22"/>
  <c r="I22" s="1"/>
  <c r="B9" i="21"/>
  <c r="B6" i="22"/>
  <c r="K20" i="19"/>
  <c r="K24" s="1"/>
  <c r="J24" s="1"/>
  <c r="G47"/>
  <c r="G24"/>
  <c r="K22"/>
  <c r="K46"/>
  <c r="K47" s="1"/>
  <c r="J47" s="1"/>
  <c r="E13" i="21" l="1"/>
  <c r="E11" i="22"/>
  <c r="E28" i="21"/>
  <c r="H30" s="1"/>
  <c r="H31" s="1"/>
  <c r="E18" i="22" l="1"/>
  <c r="E22" i="21"/>
  <c r="F24" s="1"/>
  <c r="E22" i="22"/>
  <c r="H15" i="21"/>
  <c r="I15"/>
  <c r="G15"/>
  <c r="F15"/>
  <c r="I30"/>
  <c r="I31" s="1"/>
  <c r="E13" i="22"/>
  <c r="E16" i="21"/>
  <c r="E24" i="22" l="1"/>
  <c r="D11" s="1"/>
  <c r="E32" i="21"/>
  <c r="F18"/>
  <c r="F32" s="1"/>
  <c r="G32" s="1"/>
  <c r="H32" s="1"/>
  <c r="I32" s="1"/>
  <c r="D16" l="1"/>
  <c r="D19"/>
  <c r="D13" i="22"/>
  <c r="D18"/>
  <c r="D22"/>
  <c r="D20"/>
  <c r="D13" i="21"/>
  <c r="D22"/>
  <c r="D25"/>
  <c r="D28"/>
  <c r="D32" l="1"/>
  <c r="D24" i="22"/>
</calcChain>
</file>

<file path=xl/sharedStrings.xml><?xml version="1.0" encoding="utf-8"?>
<sst xmlns="http://schemas.openxmlformats.org/spreadsheetml/2006/main" count="213" uniqueCount="149">
  <si>
    <t>Item</t>
  </si>
  <si>
    <t>Descrição</t>
  </si>
  <si>
    <t xml:space="preserve">UN </t>
  </si>
  <si>
    <t>Unitário</t>
  </si>
  <si>
    <t>SERVIÇOS PRELIMINARES</t>
  </si>
  <si>
    <t>MOVIMENTO DE SOLOS</t>
  </si>
  <si>
    <t>TOTAL-----------------»</t>
  </si>
  <si>
    <t>CRONOGRAMA  FÍSICO-FINANCEIRO</t>
  </si>
  <si>
    <t>DISCRIMINAÇÃO DOS SERVIÇOS</t>
  </si>
  <si>
    <t>%</t>
  </si>
  <si>
    <t>VALOR DO ITEM</t>
  </si>
  <si>
    <t>(R$)</t>
  </si>
  <si>
    <t>Serviços Preliminares</t>
  </si>
  <si>
    <t xml:space="preserve">Movimento de Solos </t>
  </si>
  <si>
    <t>Pinturas</t>
  </si>
  <si>
    <t>TOTAIS MENSAIS</t>
  </si>
  <si>
    <t>TOTAIS ACUMULADOS</t>
  </si>
  <si>
    <t>RESPONSÁVEL TÉCNICO: GIOVANI BIFF-ARQUITETO E URBANISTA</t>
  </si>
  <si>
    <t xml:space="preserve">                                              CAU: 96414-0</t>
  </si>
  <si>
    <t>RESUMO DA OBRA</t>
  </si>
  <si>
    <t>ITEM.</t>
  </si>
  <si>
    <t xml:space="preserve"> Serviços Preliminares</t>
  </si>
  <si>
    <t>Movimento de Solos</t>
  </si>
  <si>
    <t>30 DIAS</t>
  </si>
  <si>
    <t>60 DIAS</t>
  </si>
  <si>
    <t>90 DIAS</t>
  </si>
  <si>
    <t>120 DIAS</t>
  </si>
  <si>
    <t>PLACA DE OBRA EM CHAPA DE ACO GALVANIZADO</t>
  </si>
  <si>
    <t xml:space="preserve">Unit. c/ BDI </t>
  </si>
  <si>
    <t>Valor Total</t>
  </si>
  <si>
    <t>TOTAL ACUM.</t>
  </si>
  <si>
    <t>VALORES</t>
  </si>
  <si>
    <t>Quant.</t>
  </si>
  <si>
    <t>PINTURA</t>
  </si>
  <si>
    <r>
      <t>5</t>
    </r>
    <r>
      <rPr>
        <b/>
        <sz val="11"/>
        <rFont val="Calibri"/>
        <family val="2"/>
      </rPr>
      <t>ª</t>
    </r>
    <r>
      <rPr>
        <b/>
        <sz val="11"/>
        <rFont val="Arial"/>
        <family val="2"/>
      </rPr>
      <t xml:space="preserve"> MEDIÇÃO</t>
    </r>
  </si>
  <si>
    <t>VALOR</t>
  </si>
  <si>
    <t>C/ BASE SOB  REMANECENTE</t>
  </si>
  <si>
    <t xml:space="preserve">          Data:17/julho/2017</t>
  </si>
  <si>
    <t>SINAPI</t>
  </si>
  <si>
    <t>M</t>
  </si>
  <si>
    <t>M²</t>
  </si>
  <si>
    <t>M³</t>
  </si>
  <si>
    <r>
      <t>M</t>
    </r>
    <r>
      <rPr>
        <b/>
        <sz val="10"/>
        <rFont val="Arial"/>
        <family val="2"/>
      </rPr>
      <t>²</t>
    </r>
  </si>
  <si>
    <t>74209/001</t>
  </si>
  <si>
    <t>EXECUÇÃO DE DEPÓSITO EM CANTEIRO DE OBRA EM CHAPA DE MADEIRA COMPENSADA, NÃO INCLUSO MOBILIÁRIO. AF_04/2016</t>
  </si>
  <si>
    <t>COMPOSIÇÃO 01</t>
  </si>
  <si>
    <t>KG</t>
  </si>
  <si>
    <t>UN</t>
  </si>
  <si>
    <t>Pintura</t>
  </si>
  <si>
    <t>B.D.I: 27,63%</t>
  </si>
  <si>
    <t xml:space="preserve">       PLANILHA  ORÇAMENTÁRIA </t>
  </si>
  <si>
    <t>TOTAL GERAL DO ORÇAMENTO</t>
  </si>
  <si>
    <t xml:space="preserve">ADMINISTRAÇÃO LOCAL DE OBRA </t>
  </si>
  <si>
    <t>ENCARGOS SOCIAIS SOBRE MÃO DE OBRA: 88,80%</t>
  </si>
  <si>
    <t>Administração Local</t>
  </si>
  <si>
    <t>3.1</t>
  </si>
  <si>
    <t>1.1</t>
  </si>
  <si>
    <t>2.1</t>
  </si>
  <si>
    <t>3.2</t>
  </si>
  <si>
    <t>4.1</t>
  </si>
  <si>
    <t>4.2</t>
  </si>
  <si>
    <t>ESCAVAÇÃO MANUAL DE VALA COM PROFUNDIDADE MENOR OU IGUAL A 1,30 M. AF_03/2016</t>
  </si>
  <si>
    <t xml:space="preserve">                                      Município: Santo Antonio do Leste - MT</t>
  </si>
  <si>
    <t xml:space="preserve">COMPOSIÇÕES DE VALORES </t>
  </si>
  <si>
    <t>M2</t>
  </si>
  <si>
    <t>COMPONENTES</t>
  </si>
  <si>
    <t>Quantidade</t>
  </si>
  <si>
    <t>M Ã O   D E   O B R A</t>
  </si>
  <si>
    <t>H</t>
  </si>
  <si>
    <t>TOTAL</t>
  </si>
  <si>
    <t>COMPOSIÇÃO 002</t>
  </si>
  <si>
    <t>M A T E R I A L</t>
  </si>
  <si>
    <t>88316</t>
  </si>
  <si>
    <t>SERVENTE COM ENCARGOS COMPLEMENTARES</t>
  </si>
  <si>
    <t>COMPOSIÇÃO 02</t>
  </si>
  <si>
    <t>3.3</t>
  </si>
  <si>
    <t>1.2</t>
  </si>
  <si>
    <t>3.4</t>
  </si>
  <si>
    <t>UNID.</t>
  </si>
  <si>
    <t>COMPOSIÇÃO 001</t>
  </si>
  <si>
    <t xml:space="preserve">URBANIZAÇÃO </t>
  </si>
  <si>
    <t xml:space="preserve">PLANTIO DE GRAMA ESMERALDA EM ROLO </t>
  </si>
  <si>
    <t>EXECUÇÃO DE PASSEIO EM PISO INTERTRAVADO, COM BLOCO RETANGULAR COLORIDO DE 20 X 10 CM, ESPESSURA 6 CM. AF_12/2015</t>
  </si>
  <si>
    <t>EXECUÇÃO DE PASSEIO EM PISO INTERTRAVADO, COM BLOCO RETANGULAR COR NATURAL DE 20 X 10 CM, ESPESSURA 6 CM. AF_12/2015</t>
  </si>
  <si>
    <t>GUIA (MEIO-FIO) CONCRETO, MOLDADA IN LOCO EM TRECHO CURVO COM EXTRUSORA, 11,5 CM BASE X 22 CM ALTURA. AF_06/201</t>
  </si>
  <si>
    <t>PISO EM CONCRETO 20 MPA PREPARO MECANICO, ESPESSURA 7CM, INCLUSO JUNTAS DE DILATAÇÃO EM MADEIRA</t>
  </si>
  <si>
    <t>04175/ORSE</t>
  </si>
  <si>
    <t>LOCAÇÃO DE PRAÇAS COM PIQUETES DE MADEIRA</t>
  </si>
  <si>
    <t>1.3</t>
  </si>
  <si>
    <t xml:space="preserve">                                       Fonte de valores:SINAPI - 09/2018-DESONERADO</t>
  </si>
  <si>
    <t>ADMINISTRAÇÃO DA OBRA</t>
  </si>
  <si>
    <t>SINAPI
ou Cot. De Mercado</t>
  </si>
  <si>
    <t>Custos
Unit. (R$)</t>
  </si>
  <si>
    <t>Custos
Total (R$)</t>
  </si>
  <si>
    <t>90776</t>
  </si>
  <si>
    <t xml:space="preserve">ENCARREGADO GERAL COM ENCARGOS COMPLEMENTARES </t>
  </si>
  <si>
    <t>**Composição baseada nas tabela SINAPI/JUNHO 2018, BASEADA  EM EXECUÇÃO CONFORME CRONOGRAMA DE OBRA</t>
  </si>
  <si>
    <t>90768</t>
  </si>
  <si>
    <t>ARQUITETO DE OBRA JUNIOR COM ENCARGOS COMPLEMENTARES</t>
  </si>
  <si>
    <t>PISO TÁTIL - 40x40CM, E=2,5CM, DE ALTA RESISTÊNCIA, PODOTATIL DIRECIONAL E DE ALERTA, ASSENTADA COM ARGAMASSA DE CIMENTO E AREIA</t>
  </si>
  <si>
    <t>SINAPI/SINFRA
ou Cot. De Mercado</t>
  </si>
  <si>
    <t xml:space="preserve">00036178 </t>
  </si>
  <si>
    <t xml:space="preserve">PISO PODOTATIL DE CONCRETO - DIRECIONAL E ALERTA, *40 X 40 X 2,5*CM </t>
  </si>
  <si>
    <t>00000370</t>
  </si>
  <si>
    <t>AREIA MEDIA - POSTO JAZIDA/FORNECEDOR (SEM FRETE)</t>
  </si>
  <si>
    <t>M3</t>
  </si>
  <si>
    <t>00001379</t>
  </si>
  <si>
    <t>CIMENTO PORTLAND COMPOSTO CP II-32</t>
  </si>
  <si>
    <t>88260</t>
  </si>
  <si>
    <t>CALCETEIRO COM ENCARGOS COMPLEMENTARES</t>
  </si>
  <si>
    <t>Obs: A cotação esta por m² sendo que 01 peça de 0,40 x 0,40= 0,16m²- Para 1m² de piso são necessárias 6,25 PEÇAS (APROXIMADAMENTE 7 PEÇAS)</t>
  </si>
  <si>
    <t>**Composição baseada nas tabela SINAPI-SETEMBRO/2018</t>
  </si>
  <si>
    <t>Urbanização</t>
  </si>
  <si>
    <t xml:space="preserve"> Coordenadas geograficas da Obra:Latitude 14°48'21.19"S - Longitude 53°36'34.07"O</t>
  </si>
  <si>
    <t xml:space="preserve">                                  Local da Obra: Núcleo urbano                                                                                                                                          Coordenadas geograficas da Obra:Latitude 14°48'21.19"S - Longitude 53°36'34.07"O</t>
  </si>
  <si>
    <t>1.4</t>
  </si>
  <si>
    <r>
      <rPr>
        <b/>
        <sz val="10"/>
        <rFont val="Arial"/>
        <family val="2"/>
      </rPr>
      <t>OBRA: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Execução de Obras de Urbanização do Canteiro Central da Avenida Goiás</t>
    </r>
  </si>
  <si>
    <t xml:space="preserve">            Execução de Obras de Urbanização do Canteiro Central da Avenida Goiás</t>
  </si>
  <si>
    <t xml:space="preserve">            LOTE 02 -OBRAS DE CALÇAMENTO E PAISAGISMO</t>
  </si>
  <si>
    <r>
      <t xml:space="preserve">            </t>
    </r>
    <r>
      <rPr>
        <b/>
        <sz val="10"/>
        <rFont val="Arial"/>
        <family val="2"/>
      </rPr>
      <t>LOTE 02 -OBRAS DE CALÇAMENTO E PAISAGISMO</t>
    </r>
  </si>
  <si>
    <t xml:space="preserve">  LOTE 02 -OBRAS DE CALÇAMENTO E PAISAGISMO</t>
  </si>
  <si>
    <t>ESCAVAÇÃO MECÂNICA COM REATERRO E COMPACTAÇÃO DE VALA EM MATERIAL DE 1ª CATEGORIA</t>
  </si>
  <si>
    <t>4805758 SICRO</t>
  </si>
  <si>
    <t>COMPOSIÇÃO 003</t>
  </si>
  <si>
    <t>5502909 SICRO</t>
  </si>
  <si>
    <t>ESCAVAÇÃO, CARGA E TRANSPORTE DE SOLOS MOLES - DMT DE 2.000 A 2.500 M - CAMINHO DE SERVIÇO EM LEITO NATURAL- COM CAMINHÃO BASCULANTE DE  14 M³</t>
  </si>
  <si>
    <t xml:space="preserve">PREPARO MANUAL DE TERRENO S/ RASPAGEM SUPERFICIAL </t>
  </si>
  <si>
    <t>DATA:07/03/2019</t>
  </si>
  <si>
    <t xml:space="preserve"> Execução de Obras de Urbanização do Canteiro Central da Avenida Goiás  </t>
  </si>
  <si>
    <t xml:space="preserve">        Local da Obra:Núcleo urbano</t>
  </si>
  <si>
    <t>REMOÇÃO DE GUIA PRÉ FABRICADA DE CONCRETO</t>
  </si>
  <si>
    <t>**Composição baseada nas tabela TCPO 13- 02225.8.3.1 UNIDADE M</t>
  </si>
  <si>
    <t>PEDREIRO COM ENCARGOS COMPLEMENTARES</t>
  </si>
  <si>
    <t>88309</t>
  </si>
  <si>
    <t>DEMOLIÇÕES E RETIRADA</t>
  </si>
  <si>
    <t>4.3</t>
  </si>
  <si>
    <t>4.4</t>
  </si>
  <si>
    <t>4.5</t>
  </si>
  <si>
    <t>4.6</t>
  </si>
  <si>
    <t>5.1</t>
  </si>
  <si>
    <t>5.2</t>
  </si>
  <si>
    <t>GUIA (MEIO-FIO) CONCRETO, MOLDADA IN LOCO EM TRECHO RETO COM EXTRUSORA, 15 CM BASE X 30 CM ALTURA. AF_06/2016</t>
  </si>
  <si>
    <t>GUIA (MEIO-FIO) CONCRETO, MOLDADA IN LOCO EM TRECHO CURVO COM EXTRUSORA, 15 CM BASE X 30 CM ALTURA. AF_06/2016</t>
  </si>
  <si>
    <t>Demolições e Retirada</t>
  </si>
  <si>
    <t>COMPOSIÇÃO 03</t>
  </si>
  <si>
    <t>INSUMOS E COMPOSIÇÕES / REF. SINAPI/MT - JANEIRO/2019</t>
  </si>
  <si>
    <t>APLICAÇÃO DE FUNDO SELADORACRÍLICO EM PAREDES, UMA DEMÃO. AF_06/2014 (guias do passeio)</t>
  </si>
  <si>
    <t>APLICAÇÃO DE FUNDO SELADORACRÍLICO EM PAREDES, UMA DEMÃO. AF_06/2014 (guias de contorno do canteiro)</t>
  </si>
  <si>
    <t>IMPORTA O PRESENTE ORÇAMENTO EM R$- QUINHENTOS E SESSENTA E DOIS MIL, QUATROCENTOS E NOVENTA E OITO REAIS E SESSENTA E QUARENTA E CINCO CENTAVOS</t>
  </si>
</sst>
</file>

<file path=xl/styles.xml><?xml version="1.0" encoding="utf-8"?>
<styleSheet xmlns="http://schemas.openxmlformats.org/spreadsheetml/2006/main">
  <numFmts count="4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"/>
    <numFmt numFmtId="167" formatCode="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2"/>
    </font>
    <font>
      <b/>
      <u/>
      <sz val="18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sz val="10"/>
      <color theme="1"/>
      <name val="Arial"/>
      <family val="2"/>
    </font>
    <font>
      <sz val="1"/>
      <name val="Arial"/>
      <family val="2"/>
    </font>
    <font>
      <b/>
      <sz val="11.5"/>
      <name val="Arial"/>
      <family val="2"/>
    </font>
    <font>
      <sz val="11.5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18" fillId="0" borderId="0"/>
    <xf numFmtId="0" fontId="18" fillId="0" borderId="0"/>
    <xf numFmtId="0" fontId="17" fillId="0" borderId="0"/>
    <xf numFmtId="0" fontId="2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25" fillId="0" borderId="0"/>
    <xf numFmtId="0" fontId="25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167" fontId="0" fillId="0" borderId="0" xfId="0" applyNumberFormat="1"/>
    <xf numFmtId="4" fontId="0" fillId="0" borderId="0" xfId="0" applyNumberFormat="1" applyAlignment="1">
      <alignment horizont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/>
    <xf numFmtId="0" fontId="0" fillId="0" borderId="0" xfId="0" applyBorder="1" applyAlignment="1">
      <alignment horizontal="left" vertical="center" wrapText="1"/>
    </xf>
    <xf numFmtId="0" fontId="7" fillId="0" borderId="0" xfId="0" applyFont="1"/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7" fontId="0" fillId="2" borderId="0" xfId="0" applyNumberFormat="1" applyFill="1"/>
    <xf numFmtId="0" fontId="0" fillId="0" borderId="0" xfId="0" applyFill="1"/>
    <xf numFmtId="2" fontId="0" fillId="5" borderId="1" xfId="0" applyNumberFormat="1" applyFill="1" applyBorder="1" applyAlignment="1">
      <alignment horizontal="center" vertical="center" wrapText="1"/>
    </xf>
    <xf numFmtId="167" fontId="0" fillId="5" borderId="1" xfId="0" applyNumberForma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0" fillId="5" borderId="1" xfId="0" quotePrefix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10" fontId="5" fillId="5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7" fillId="0" borderId="0" xfId="0" applyFont="1" applyBorder="1"/>
    <xf numFmtId="0" fontId="13" fillId="0" borderId="2" xfId="0" applyFont="1" applyBorder="1"/>
    <xf numFmtId="0" fontId="7" fillId="0" borderId="2" xfId="0" applyFont="1" applyBorder="1"/>
    <xf numFmtId="165" fontId="13" fillId="0" borderId="2" xfId="0" applyNumberFormat="1" applyFont="1" applyBorder="1"/>
    <xf numFmtId="0" fontId="5" fillId="0" borderId="3" xfId="0" applyFont="1" applyBorder="1"/>
    <xf numFmtId="0" fontId="13" fillId="0" borderId="3" xfId="0" applyFont="1" applyBorder="1"/>
    <xf numFmtId="0" fontId="16" fillId="0" borderId="4" xfId="0" applyFont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0" fontId="13" fillId="0" borderId="6" xfId="34" applyNumberFormat="1" applyFont="1" applyBorder="1"/>
    <xf numFmtId="10" fontId="13" fillId="0" borderId="4" xfId="34" applyNumberFormat="1" applyFont="1" applyBorder="1"/>
    <xf numFmtId="165" fontId="13" fillId="0" borderId="8" xfId="50" applyFont="1" applyBorder="1"/>
    <xf numFmtId="165" fontId="13" fillId="0" borderId="7" xfId="50" applyFont="1" applyBorder="1"/>
    <xf numFmtId="165" fontId="13" fillId="0" borderId="4" xfId="50" applyFont="1" applyBorder="1"/>
    <xf numFmtId="165" fontId="13" fillId="3" borderId="1" xfId="50" applyFont="1" applyFill="1" applyBorder="1"/>
    <xf numFmtId="165" fontId="13" fillId="4" borderId="4" xfId="50" applyFont="1" applyFill="1" applyBorder="1"/>
    <xf numFmtId="10" fontId="13" fillId="0" borderId="9" xfId="34" applyNumberFormat="1" applyFont="1" applyFill="1" applyBorder="1"/>
    <xf numFmtId="10" fontId="13" fillId="0" borderId="5" xfId="34" applyNumberFormat="1" applyFont="1" applyFill="1" applyBorder="1"/>
    <xf numFmtId="10" fontId="13" fillId="3" borderId="1" xfId="34" applyNumberFormat="1" applyFont="1" applyFill="1" applyBorder="1"/>
    <xf numFmtId="10" fontId="13" fillId="0" borderId="5" xfId="34" applyNumberFormat="1" applyFont="1" applyBorder="1"/>
    <xf numFmtId="165" fontId="13" fillId="0" borderId="12" xfId="50" applyFont="1" applyFill="1" applyBorder="1"/>
    <xf numFmtId="165" fontId="16" fillId="0" borderId="7" xfId="50" applyFont="1" applyBorder="1"/>
    <xf numFmtId="9" fontId="16" fillId="0" borderId="1" xfId="34" applyNumberFormat="1" applyFont="1" applyBorder="1" applyAlignment="1">
      <alignment horizontal="center"/>
    </xf>
    <xf numFmtId="165" fontId="16" fillId="0" borderId="1" xfId="50" applyFont="1" applyBorder="1" applyAlignment="1">
      <alignment horizontal="center"/>
    </xf>
    <xf numFmtId="165" fontId="13" fillId="0" borderId="1" xfId="0" applyNumberFormat="1" applyFont="1" applyBorder="1"/>
    <xf numFmtId="0" fontId="16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/>
    <xf numFmtId="4" fontId="5" fillId="5" borderId="1" xfId="0" applyNumberFormat="1" applyFont="1" applyFill="1" applyBorder="1" applyAlignment="1">
      <alignment horizontal="center" vertical="center"/>
    </xf>
    <xf numFmtId="10" fontId="5" fillId="0" borderId="0" xfId="44" applyNumberFormat="1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4" fontId="9" fillId="5" borderId="0" xfId="0" applyNumberFormat="1" applyFont="1" applyFill="1" applyBorder="1" applyAlignment="1">
      <alignment horizontal="center" vertical="center" wrapText="1"/>
    </xf>
    <xf numFmtId="4" fontId="9" fillId="6" borderId="0" xfId="0" applyNumberFormat="1" applyFont="1" applyFill="1" applyBorder="1" applyAlignment="1">
      <alignment horizontal="center" vertical="center" wrapText="1"/>
    </xf>
    <xf numFmtId="4" fontId="9" fillId="6" borderId="0" xfId="0" applyNumberFormat="1" applyFont="1" applyFill="1" applyBorder="1" applyAlignment="1">
      <alignment horizontal="center" vertical="center"/>
    </xf>
    <xf numFmtId="4" fontId="7" fillId="6" borderId="0" xfId="0" applyNumberFormat="1" applyFont="1" applyFill="1" applyBorder="1" applyAlignment="1">
      <alignment horizontal="right" vertical="center"/>
    </xf>
    <xf numFmtId="4" fontId="7" fillId="6" borderId="0" xfId="45" applyNumberFormat="1" applyFont="1" applyFill="1" applyBorder="1" applyAlignment="1">
      <alignment vertical="center"/>
    </xf>
    <xf numFmtId="4" fontId="5" fillId="6" borderId="0" xfId="0" applyNumberFormat="1" applyFont="1" applyFill="1" applyBorder="1" applyAlignment="1">
      <alignment horizontal="right" vertical="center"/>
    </xf>
    <xf numFmtId="4" fontId="15" fillId="6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justify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vertical="center" wrapText="1"/>
    </xf>
    <xf numFmtId="0" fontId="20" fillId="0" borderId="0" xfId="24" applyFont="1" applyBorder="1"/>
    <xf numFmtId="0" fontId="16" fillId="4" borderId="17" xfId="0" applyFont="1" applyFill="1" applyBorder="1" applyAlignment="1">
      <alignment horizontal="center" vertical="center"/>
    </xf>
    <xf numFmtId="10" fontId="5" fillId="0" borderId="0" xfId="44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7" fillId="8" borderId="0" xfId="0" applyNumberFormat="1" applyFont="1" applyFill="1" applyBorder="1" applyAlignment="1">
      <alignment horizontal="right" vertical="center"/>
    </xf>
    <xf numFmtId="0" fontId="0" fillId="8" borderId="0" xfId="0" applyFill="1" applyAlignment="1">
      <alignment vertical="center" wrapText="1"/>
    </xf>
    <xf numFmtId="0" fontId="20" fillId="8" borderId="0" xfId="24" applyFont="1" applyFill="1" applyBorder="1"/>
    <xf numFmtId="4" fontId="7" fillId="8" borderId="0" xfId="45" applyNumberFormat="1" applyFont="1" applyFill="1" applyBorder="1" applyAlignment="1">
      <alignment vertical="center"/>
    </xf>
    <xf numFmtId="0" fontId="5" fillId="8" borderId="0" xfId="0" applyFont="1" applyFill="1" applyAlignment="1">
      <alignment vertical="center"/>
    </xf>
    <xf numFmtId="166" fontId="20" fillId="8" borderId="0" xfId="24" applyNumberFormat="1" applyFont="1" applyFill="1" applyBorder="1"/>
    <xf numFmtId="0" fontId="11" fillId="8" borderId="0" xfId="0" applyFont="1" applyFill="1" applyAlignment="1">
      <alignment vertical="center"/>
    </xf>
    <xf numFmtId="0" fontId="7" fillId="8" borderId="0" xfId="0" applyFont="1" applyFill="1" applyBorder="1" applyAlignment="1">
      <alignment vertical="center"/>
    </xf>
    <xf numFmtId="0" fontId="5" fillId="8" borderId="0" xfId="0" quotePrefix="1" applyFont="1" applyFill="1" applyBorder="1" applyAlignment="1">
      <alignment horizontal="center" vertical="center" wrapText="1"/>
    </xf>
    <xf numFmtId="0" fontId="0" fillId="8" borderId="0" xfId="0" applyFill="1"/>
    <xf numFmtId="0" fontId="10" fillId="8" borderId="0" xfId="0" applyFont="1" applyFill="1"/>
    <xf numFmtId="0" fontId="2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4" fontId="9" fillId="7" borderId="0" xfId="0" applyNumberFormat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vertical="center"/>
    </xf>
    <xf numFmtId="10" fontId="7" fillId="7" borderId="0" xfId="0" applyNumberFormat="1" applyFont="1" applyFill="1" applyBorder="1" applyAlignment="1">
      <alignment horizontal="right" vertical="center"/>
    </xf>
    <xf numFmtId="4" fontId="7" fillId="7" borderId="0" xfId="0" applyNumberFormat="1" applyFont="1" applyFill="1" applyBorder="1" applyAlignment="1">
      <alignment vertical="center"/>
    </xf>
    <xf numFmtId="10" fontId="5" fillId="7" borderId="0" xfId="0" applyNumberFormat="1" applyFont="1" applyFill="1" applyBorder="1" applyAlignment="1">
      <alignment horizontal="right" vertical="center"/>
    </xf>
    <xf numFmtId="4" fontId="5" fillId="7" borderId="0" xfId="0" applyNumberFormat="1" applyFont="1" applyFill="1" applyBorder="1" applyAlignment="1">
      <alignment vertical="center"/>
    </xf>
    <xf numFmtId="10" fontId="7" fillId="8" borderId="0" xfId="0" applyNumberFormat="1" applyFont="1" applyFill="1" applyBorder="1" applyAlignment="1">
      <alignment horizontal="right" vertical="center"/>
    </xf>
    <xf numFmtId="4" fontId="7" fillId="8" borderId="0" xfId="0" applyNumberFormat="1" applyFont="1" applyFill="1" applyBorder="1" applyAlignment="1">
      <alignment vertical="center"/>
    </xf>
    <xf numFmtId="10" fontId="5" fillId="5" borderId="0" xfId="0" applyNumberFormat="1" applyFont="1" applyFill="1" applyBorder="1" applyAlignment="1">
      <alignment horizontal="right" vertical="center"/>
    </xf>
    <xf numFmtId="4" fontId="15" fillId="7" borderId="0" xfId="0" applyNumberFormat="1" applyFont="1" applyFill="1" applyBorder="1" applyAlignment="1">
      <alignment horizontal="center"/>
    </xf>
    <xf numFmtId="0" fontId="5" fillId="5" borderId="0" xfId="0" applyFont="1" applyFill="1" applyBorder="1" applyAlignment="1">
      <alignment vertical="center" wrapText="1"/>
    </xf>
    <xf numFmtId="10" fontId="7" fillId="9" borderId="0" xfId="0" applyNumberFormat="1" applyFont="1" applyFill="1" applyBorder="1" applyAlignment="1">
      <alignment horizontal="right" vertical="center"/>
    </xf>
    <xf numFmtId="4" fontId="7" fillId="9" borderId="0" xfId="0" applyNumberFormat="1" applyFont="1" applyFill="1" applyBorder="1" applyAlignment="1">
      <alignment vertical="center"/>
    </xf>
    <xf numFmtId="4" fontId="7" fillId="9" borderId="0" xfId="45" applyNumberFormat="1" applyFont="1" applyFill="1" applyBorder="1" applyAlignment="1">
      <alignment vertical="center"/>
    </xf>
    <xf numFmtId="0" fontId="0" fillId="9" borderId="0" xfId="0" applyFill="1"/>
    <xf numFmtId="0" fontId="10" fillId="9" borderId="0" xfId="0" applyFont="1" applyFill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4" fontId="5" fillId="5" borderId="16" xfId="0" applyNumberFormat="1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4" fontId="5" fillId="5" borderId="1" xfId="0" applyNumberFormat="1" applyFont="1" applyFill="1" applyBorder="1" applyAlignment="1">
      <alignment vertic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7" fillId="0" borderId="23" xfId="0" applyFont="1" applyBorder="1"/>
    <xf numFmtId="0" fontId="7" fillId="0" borderId="21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25" xfId="0" applyFont="1" applyBorder="1"/>
    <xf numFmtId="0" fontId="7" fillId="0" borderId="19" xfId="0" applyFont="1" applyBorder="1"/>
    <xf numFmtId="0" fontId="13" fillId="0" borderId="24" xfId="0" applyFont="1" applyBorder="1"/>
    <xf numFmtId="0" fontId="13" fillId="0" borderId="0" xfId="0" applyFont="1" applyBorder="1"/>
    <xf numFmtId="0" fontId="16" fillId="0" borderId="0" xfId="0" applyFont="1" applyBorder="1"/>
    <xf numFmtId="10" fontId="13" fillId="0" borderId="0" xfId="34" applyNumberFormat="1" applyFont="1" applyBorder="1"/>
    <xf numFmtId="0" fontId="9" fillId="0" borderId="0" xfId="0" applyFont="1" applyBorder="1" applyAlignment="1"/>
    <xf numFmtId="0" fontId="13" fillId="0" borderId="23" xfId="0" applyFont="1" applyBorder="1"/>
    <xf numFmtId="0" fontId="13" fillId="0" borderId="25" xfId="0" applyFont="1" applyBorder="1"/>
    <xf numFmtId="0" fontId="5" fillId="0" borderId="0" xfId="0" applyFont="1" applyBorder="1"/>
    <xf numFmtId="0" fontId="13" fillId="0" borderId="21" xfId="0" applyFont="1" applyBorder="1"/>
    <xf numFmtId="0" fontId="13" fillId="0" borderId="33" xfId="0" applyFont="1" applyBorder="1"/>
    <xf numFmtId="0" fontId="9" fillId="0" borderId="27" xfId="0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165" fontId="16" fillId="0" borderId="21" xfId="50" applyFont="1" applyBorder="1" applyAlignment="1">
      <alignment horizontal="center"/>
    </xf>
    <xf numFmtId="0" fontId="13" fillId="0" borderId="19" xfId="0" applyFont="1" applyBorder="1"/>
    <xf numFmtId="9" fontId="16" fillId="0" borderId="34" xfId="34" applyNumberFormat="1" applyFont="1" applyBorder="1" applyAlignment="1">
      <alignment horizontal="center"/>
    </xf>
    <xf numFmtId="0" fontId="13" fillId="0" borderId="35" xfId="0" applyFont="1" applyBorder="1"/>
    <xf numFmtId="0" fontId="24" fillId="0" borderId="13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8" fillId="0" borderId="13" xfId="0" applyFont="1" applyBorder="1" applyAlignment="1"/>
    <xf numFmtId="0" fontId="5" fillId="0" borderId="13" xfId="0" applyFont="1" applyBorder="1" applyAlignment="1"/>
    <xf numFmtId="0" fontId="0" fillId="5" borderId="1" xfId="0" applyNumberFormat="1" applyFill="1" applyBorder="1" applyAlignment="1">
      <alignment horizontal="center" vertical="center" wrapText="1"/>
    </xf>
    <xf numFmtId="0" fontId="12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1" xfId="0" quotePrefix="1" applyFont="1" applyFill="1" applyBorder="1" applyAlignment="1">
      <alignment vertical="center" wrapText="1"/>
    </xf>
    <xf numFmtId="4" fontId="5" fillId="5" borderId="32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5" fillId="12" borderId="28" xfId="25" applyFont="1" applyFill="1" applyBorder="1" applyAlignment="1">
      <alignment horizontal="center" vertical="center"/>
    </xf>
    <xf numFmtId="0" fontId="5" fillId="12" borderId="15" xfId="24" applyFont="1" applyFill="1" applyBorder="1" applyAlignment="1">
      <alignment horizontal="center" vertical="center" wrapText="1"/>
    </xf>
    <xf numFmtId="0" fontId="5" fillId="0" borderId="30" xfId="24" applyFont="1" applyFill="1" applyBorder="1" applyAlignment="1">
      <alignment horizontal="center" vertical="center" wrapText="1"/>
    </xf>
    <xf numFmtId="49" fontId="3" fillId="0" borderId="30" xfId="25" applyNumberFormat="1" applyFont="1" applyFill="1" applyBorder="1" applyAlignment="1">
      <alignment horizontal="center" vertical="center"/>
    </xf>
    <xf numFmtId="0" fontId="3" fillId="0" borderId="1" xfId="25" applyFont="1" applyFill="1" applyBorder="1" applyAlignment="1">
      <alignment horizontal="left" wrapText="1"/>
    </xf>
    <xf numFmtId="0" fontId="3" fillId="0" borderId="1" xfId="25" applyFont="1" applyBorder="1" applyAlignment="1">
      <alignment horizontal="center" wrapText="1"/>
    </xf>
    <xf numFmtId="165" fontId="29" fillId="0" borderId="1" xfId="52" applyFont="1" applyFill="1" applyBorder="1" applyAlignment="1" applyProtection="1">
      <alignment horizontal="center"/>
    </xf>
    <xf numFmtId="165" fontId="29" fillId="0" borderId="1" xfId="52" applyFont="1" applyFill="1" applyBorder="1" applyAlignment="1">
      <alignment horizontal="center"/>
    </xf>
    <xf numFmtId="4" fontId="0" fillId="0" borderId="16" xfId="0" applyNumberFormat="1" applyFill="1" applyBorder="1" applyAlignment="1">
      <alignment horizontal="right"/>
    </xf>
    <xf numFmtId="0" fontId="3" fillId="5" borderId="36" xfId="0" applyFont="1" applyFill="1" applyBorder="1" applyAlignment="1">
      <alignment horizontal="center"/>
    </xf>
    <xf numFmtId="165" fontId="29" fillId="0" borderId="36" xfId="52" applyFont="1" applyFill="1" applyBorder="1" applyAlignment="1">
      <alignment horizontal="center"/>
    </xf>
    <xf numFmtId="4" fontId="0" fillId="0" borderId="37" xfId="0" applyNumberFormat="1" applyFill="1" applyBorder="1" applyAlignment="1">
      <alignment horizontal="right"/>
    </xf>
    <xf numFmtId="165" fontId="9" fillId="11" borderId="25" xfId="52" applyFont="1" applyFill="1" applyBorder="1" applyAlignment="1">
      <alignment horizontal="right" vertical="center"/>
    </xf>
    <xf numFmtId="4" fontId="6" fillId="11" borderId="19" xfId="8" applyNumberFormat="1" applyFont="1" applyFill="1" applyBorder="1" applyAlignment="1">
      <alignment horizontal="right" vertical="center"/>
    </xf>
    <xf numFmtId="0" fontId="3" fillId="5" borderId="36" xfId="0" applyFont="1" applyFill="1" applyBorder="1" applyAlignment="1">
      <alignment horizontal="left" vertical="center" wrapText="1"/>
    </xf>
    <xf numFmtId="0" fontId="3" fillId="5" borderId="36" xfId="0" applyFont="1" applyFill="1" applyBorder="1" applyAlignment="1">
      <alignment horizontal="center" vertical="center"/>
    </xf>
    <xf numFmtId="165" fontId="29" fillId="0" borderId="1" xfId="52" applyFont="1" applyFill="1" applyBorder="1" applyAlignment="1" applyProtection="1">
      <alignment horizontal="center" vertical="center"/>
    </xf>
    <xf numFmtId="165" fontId="29" fillId="0" borderId="36" xfId="52" applyFont="1" applyFill="1" applyBorder="1" applyAlignment="1">
      <alignment horizontal="center" vertical="center"/>
    </xf>
    <xf numFmtId="4" fontId="0" fillId="0" borderId="37" xfId="0" applyNumberFormat="1" applyFill="1" applyBorder="1" applyAlignment="1">
      <alignment horizontal="right" vertical="center"/>
    </xf>
    <xf numFmtId="49" fontId="3" fillId="0" borderId="30" xfId="25" applyNumberFormat="1" applyFont="1" applyFill="1" applyBorder="1" applyAlignment="1">
      <alignment horizontal="center"/>
    </xf>
    <xf numFmtId="0" fontId="3" fillId="5" borderId="36" xfId="0" applyFont="1" applyFill="1" applyBorder="1" applyAlignment="1">
      <alignment horizontal="left"/>
    </xf>
    <xf numFmtId="165" fontId="29" fillId="0" borderId="36" xfId="52" applyFont="1" applyFill="1" applyBorder="1" applyAlignment="1" applyProtection="1">
      <alignment horizontal="center"/>
    </xf>
    <xf numFmtId="0" fontId="3" fillId="0" borderId="0" xfId="25" applyFont="1"/>
    <xf numFmtId="0" fontId="30" fillId="0" borderId="0" xfId="24" applyFont="1" applyBorder="1"/>
    <xf numFmtId="49" fontId="30" fillId="0" borderId="0" xfId="24" applyNumberFormat="1" applyFont="1" applyBorder="1" applyAlignment="1">
      <alignment horizontal="center"/>
    </xf>
    <xf numFmtId="10" fontId="3" fillId="7" borderId="0" xfId="0" applyNumberFormat="1" applyFont="1" applyFill="1" applyBorder="1" applyAlignment="1">
      <alignment horizontal="right" vertical="center"/>
    </xf>
    <xf numFmtId="4" fontId="3" fillId="7" borderId="0" xfId="0" applyNumberFormat="1" applyFont="1" applyFill="1" applyBorder="1" applyAlignment="1">
      <alignment vertical="center"/>
    </xf>
    <xf numFmtId="4" fontId="3" fillId="6" borderId="0" xfId="45" applyNumberFormat="1" applyFont="1" applyFill="1" applyBorder="1" applyAlignment="1">
      <alignment vertical="center"/>
    </xf>
    <xf numFmtId="165" fontId="13" fillId="0" borderId="1" xfId="50" applyFont="1" applyBorder="1"/>
    <xf numFmtId="0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67" fontId="13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 wrapText="1"/>
    </xf>
    <xf numFmtId="4" fontId="3" fillId="5" borderId="40" xfId="0" applyNumberFormat="1" applyFont="1" applyFill="1" applyBorder="1" applyAlignment="1">
      <alignment horizontal="right" vertical="center" wrapText="1"/>
    </xf>
    <xf numFmtId="49" fontId="3" fillId="0" borderId="1" xfId="25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right"/>
    </xf>
    <xf numFmtId="0" fontId="3" fillId="0" borderId="1" xfId="25" applyFont="1" applyBorder="1" applyAlignment="1">
      <alignment horizontal="center" vertical="center" wrapText="1"/>
    </xf>
    <xf numFmtId="165" fontId="29" fillId="0" borderId="1" xfId="52" applyFont="1" applyFill="1" applyBorder="1" applyAlignment="1">
      <alignment horizontal="center" vertical="center"/>
    </xf>
    <xf numFmtId="4" fontId="0" fillId="0" borderId="16" xfId="0" applyNumberFormat="1" applyFill="1" applyBorder="1" applyAlignment="1">
      <alignment horizontal="right" vertical="center"/>
    </xf>
    <xf numFmtId="0" fontId="19" fillId="0" borderId="13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10" fontId="13" fillId="0" borderId="1" xfId="34" applyNumberFormat="1" applyFont="1" applyBorder="1" applyAlignment="1">
      <alignment horizontal="center" vertical="center"/>
    </xf>
    <xf numFmtId="165" fontId="13" fillId="5" borderId="1" xfId="34" applyNumberFormat="1" applyFont="1" applyFill="1" applyBorder="1" applyAlignment="1">
      <alignment horizontal="center" vertical="center"/>
    </xf>
    <xf numFmtId="4" fontId="31" fillId="0" borderId="13" xfId="0" applyNumberFormat="1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65" fontId="13" fillId="0" borderId="1" xfId="34" applyNumberFormat="1" applyFont="1" applyFill="1" applyBorder="1" applyAlignment="1">
      <alignment horizontal="center" vertical="center"/>
    </xf>
    <xf numFmtId="4" fontId="15" fillId="0" borderId="25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5" fillId="0" borderId="26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10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10" fontId="13" fillId="0" borderId="5" xfId="34" applyNumberFormat="1" applyFont="1" applyBorder="1" applyAlignment="1">
      <alignment horizontal="center" vertical="center"/>
    </xf>
    <xf numFmtId="10" fontId="13" fillId="0" borderId="7" xfId="34" applyNumberFormat="1" applyFont="1" applyBorder="1" applyAlignment="1">
      <alignment horizontal="center" vertical="center"/>
    </xf>
    <xf numFmtId="165" fontId="13" fillId="0" borderId="5" xfId="34" applyNumberFormat="1" applyFont="1" applyFill="1" applyBorder="1" applyAlignment="1">
      <alignment horizontal="center" vertical="center"/>
    </xf>
    <xf numFmtId="165" fontId="13" fillId="0" borderId="7" xfId="34" applyNumberFormat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20" fillId="8" borderId="0" xfId="24" applyFont="1" applyFill="1" applyBorder="1"/>
    <xf numFmtId="10" fontId="5" fillId="5" borderId="10" xfId="0" applyNumberFormat="1" applyFont="1" applyFill="1" applyBorder="1" applyAlignment="1">
      <alignment horizontal="right" vertical="center"/>
    </xf>
    <xf numFmtId="10" fontId="5" fillId="5" borderId="18" xfId="0" applyNumberFormat="1" applyFont="1" applyFill="1" applyBorder="1" applyAlignment="1">
      <alignment horizontal="right" vertical="center"/>
    </xf>
    <xf numFmtId="10" fontId="13" fillId="8" borderId="0" xfId="0" applyNumberFormat="1" applyFont="1" applyFill="1" applyBorder="1" applyAlignment="1">
      <alignment horizontal="center" vertical="center"/>
    </xf>
    <xf numFmtId="0" fontId="20" fillId="0" borderId="0" xfId="24" applyFont="1" applyBorder="1"/>
    <xf numFmtId="0" fontId="5" fillId="5" borderId="10" xfId="0" applyFont="1" applyFill="1" applyBorder="1" applyAlignment="1">
      <alignment horizontal="right" vertical="center" wrapText="1"/>
    </xf>
    <xf numFmtId="0" fontId="5" fillId="5" borderId="20" xfId="0" applyFont="1" applyFill="1" applyBorder="1" applyAlignment="1">
      <alignment horizontal="right" vertical="center" wrapText="1"/>
    </xf>
    <xf numFmtId="0" fontId="5" fillId="5" borderId="18" xfId="0" applyFont="1" applyFill="1" applyBorder="1" applyAlignment="1">
      <alignment horizontal="right" vertical="center" wrapText="1"/>
    </xf>
    <xf numFmtId="14" fontId="9" fillId="7" borderId="0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4" fontId="9" fillId="7" borderId="0" xfId="0" applyNumberFormat="1" applyFont="1" applyFill="1" applyBorder="1" applyAlignment="1">
      <alignment horizontal="center" vertical="center" wrapText="1"/>
    </xf>
    <xf numFmtId="10" fontId="13" fillId="7" borderId="6" xfId="0" applyNumberFormat="1" applyFont="1" applyFill="1" applyBorder="1" applyAlignment="1">
      <alignment horizontal="center" vertical="center"/>
    </xf>
    <xf numFmtId="10" fontId="13" fillId="7" borderId="0" xfId="0" applyNumberFormat="1" applyFont="1" applyFill="1" applyBorder="1" applyAlignment="1">
      <alignment horizontal="center" vertical="center"/>
    </xf>
    <xf numFmtId="10" fontId="5" fillId="0" borderId="0" xfId="44" applyNumberFormat="1" applyFont="1" applyBorder="1" applyAlignment="1">
      <alignment horizontal="center" vertical="center" wrapText="1"/>
    </xf>
    <xf numFmtId="167" fontId="9" fillId="5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right" vertical="center" wrapText="1"/>
    </xf>
    <xf numFmtId="0" fontId="9" fillId="5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wrapText="1"/>
    </xf>
    <xf numFmtId="0" fontId="7" fillId="5" borderId="20" xfId="0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4" fontId="9" fillId="5" borderId="12" xfId="0" applyNumberFormat="1" applyFont="1" applyFill="1" applyBorder="1" applyAlignment="1">
      <alignment horizontal="center" vertical="center" wrapText="1"/>
    </xf>
    <xf numFmtId="4" fontId="9" fillId="5" borderId="17" xfId="0" applyNumberFormat="1" applyFont="1" applyFill="1" applyBorder="1" applyAlignment="1">
      <alignment horizontal="center" vertical="center" wrapText="1"/>
    </xf>
    <xf numFmtId="4" fontId="9" fillId="5" borderId="9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right"/>
    </xf>
    <xf numFmtId="0" fontId="9" fillId="5" borderId="17" xfId="0" applyFont="1" applyFill="1" applyBorder="1" applyAlignment="1">
      <alignment horizontal="right"/>
    </xf>
    <xf numFmtId="0" fontId="9" fillId="5" borderId="31" xfId="0" applyFont="1" applyFill="1" applyBorder="1" applyAlignment="1">
      <alignment horizontal="right"/>
    </xf>
    <xf numFmtId="0" fontId="5" fillId="5" borderId="20" xfId="0" quotePrefix="1" applyFont="1" applyFill="1" applyBorder="1" applyAlignment="1">
      <alignment horizontal="center" vertical="center" wrapText="1"/>
    </xf>
    <xf numFmtId="0" fontId="5" fillId="5" borderId="18" xfId="0" quotePrefix="1" applyFont="1" applyFill="1" applyBorder="1" applyAlignment="1">
      <alignment horizontal="center" vertical="center" wrapText="1"/>
    </xf>
    <xf numFmtId="49" fontId="2" fillId="0" borderId="24" xfId="32" applyNumberFormat="1" applyFont="1" applyBorder="1" applyAlignment="1">
      <alignment horizontal="left"/>
    </xf>
    <xf numFmtId="49" fontId="3" fillId="0" borderId="24" xfId="32" applyNumberFormat="1" applyFont="1" applyBorder="1" applyAlignment="1">
      <alignment horizontal="left"/>
    </xf>
    <xf numFmtId="49" fontId="3" fillId="0" borderId="21" xfId="32" applyNumberFormat="1" applyFont="1" applyBorder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5" fillId="12" borderId="29" xfId="24" applyFont="1" applyFill="1" applyBorder="1" applyAlignment="1">
      <alignment horizontal="left" vertical="center" wrapText="1"/>
    </xf>
    <xf numFmtId="0" fontId="5" fillId="10" borderId="38" xfId="0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center" vertical="center"/>
    </xf>
    <xf numFmtId="0" fontId="5" fillId="10" borderId="39" xfId="0" applyFont="1" applyFill="1" applyBorder="1" applyAlignment="1">
      <alignment horizontal="center" vertical="center"/>
    </xf>
    <xf numFmtId="49" fontId="1" fillId="0" borderId="0" xfId="32" applyNumberFormat="1" applyFont="1" applyBorder="1" applyAlignment="1">
      <alignment horizontal="left"/>
    </xf>
    <xf numFmtId="49" fontId="3" fillId="0" borderId="0" xfId="32" applyNumberFormat="1" applyFont="1" applyBorder="1" applyAlignment="1">
      <alignment horizontal="left"/>
    </xf>
    <xf numFmtId="49" fontId="3" fillId="0" borderId="14" xfId="32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165" fontId="13" fillId="0" borderId="4" xfId="34" applyNumberFormat="1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10" fontId="13" fillId="0" borderId="5" xfId="34" applyNumberFormat="1" applyFont="1" applyFill="1" applyBorder="1" applyAlignment="1">
      <alignment horizontal="center"/>
    </xf>
    <xf numFmtId="10" fontId="13" fillId="0" borderId="4" xfId="34" applyNumberFormat="1" applyFont="1" applyFill="1" applyBorder="1" applyAlignment="1">
      <alignment horizontal="center"/>
    </xf>
    <xf numFmtId="10" fontId="13" fillId="0" borderId="7" xfId="34" applyNumberFormat="1" applyFont="1" applyFill="1" applyBorder="1" applyAlignment="1">
      <alignment horizontal="center"/>
    </xf>
  </cellXfs>
  <cellStyles count="64">
    <cellStyle name="Cancel" xfId="1"/>
    <cellStyle name="Cancel 2" xfId="2"/>
    <cellStyle name="Excel Built-in Normal" xfId="3"/>
    <cellStyle name="Hiperlink 2" xfId="4"/>
    <cellStyle name="Hiperlink 3" xfId="5"/>
    <cellStyle name="Moeda 2" xfId="6"/>
    <cellStyle name="Moeda 2 2" xfId="7"/>
    <cellStyle name="Moeda 2 2 2" xfId="8"/>
    <cellStyle name="Moeda 2 3" xfId="9"/>
    <cellStyle name="Moeda 3" xfId="10"/>
    <cellStyle name="Moeda 3 2" xfId="11"/>
    <cellStyle name="Moeda 3 2 2" xfId="12"/>
    <cellStyle name="Moeda 3 2 3" xfId="13"/>
    <cellStyle name="Moeda 3 3" xfId="14"/>
    <cellStyle name="Moeda 4" xfId="15"/>
    <cellStyle name="Moeda 4 2" xfId="16"/>
    <cellStyle name="Moeda 5" xfId="17"/>
    <cellStyle name="Moeda 6" xfId="18"/>
    <cellStyle name="Moeda 7" xfId="19"/>
    <cellStyle name="Moeda 8" xfId="20"/>
    <cellStyle name="Normal" xfId="0" builtinId="0"/>
    <cellStyle name="Normal 2" xfId="21"/>
    <cellStyle name="Normal 2 2" xfId="22"/>
    <cellStyle name="Normal 2 2 2" xfId="23"/>
    <cellStyle name="Normal 2 2 2 2" xfId="24"/>
    <cellStyle name="Normal 2 2 3" xfId="25"/>
    <cellStyle name="Normal 2 3" xfId="26"/>
    <cellStyle name="Normal 2 4" xfId="27"/>
    <cellStyle name="Normal 2 5" xfId="28"/>
    <cellStyle name="Normal 3" xfId="29"/>
    <cellStyle name="Normal 3 2" xfId="30"/>
    <cellStyle name="Normal 4" xfId="31"/>
    <cellStyle name="Normal 5" xfId="32"/>
    <cellStyle name="Normal 6" xfId="33"/>
    <cellStyle name="Porcentagem 2" xfId="34"/>
    <cellStyle name="Porcentagem 2 2" xfId="35"/>
    <cellStyle name="Porcentagem 2 3" xfId="36"/>
    <cellStyle name="Porcentagem 2 4" xfId="37"/>
    <cellStyle name="Porcentagem 3" xfId="38"/>
    <cellStyle name="Porcentagem 3 2" xfId="39"/>
    <cellStyle name="Porcentagem 3 2 2" xfId="40"/>
    <cellStyle name="Porcentagem 3 3" xfId="41"/>
    <cellStyle name="Porcentagem 4" xfId="42"/>
    <cellStyle name="Porcentagem 5" xfId="43"/>
    <cellStyle name="Separador de milhares" xfId="44" builtinId="3"/>
    <cellStyle name="Separador de milhares 2" xfId="45"/>
    <cellStyle name="Separador de milhares 2 2" xfId="46"/>
    <cellStyle name="Separador de milhares 2 3" xfId="47"/>
    <cellStyle name="Separador de milhares 2 4" xfId="48"/>
    <cellStyle name="Separador de milhares 3" xfId="49"/>
    <cellStyle name="Vírgula 2" xfId="50"/>
    <cellStyle name="Vírgula 2 2" xfId="51"/>
    <cellStyle name="Vírgula 2 2 2" xfId="52"/>
    <cellStyle name="Vírgula 2 3" xfId="53"/>
    <cellStyle name="Vírgula 3" xfId="54"/>
    <cellStyle name="Vírgula 3 2" xfId="55"/>
    <cellStyle name="Vírgula 3 2 2" xfId="56"/>
    <cellStyle name="Vírgula 3 3" xfId="57"/>
    <cellStyle name="Vírgula 4" xfId="58"/>
    <cellStyle name="Vírgula 4 2" xfId="59"/>
    <cellStyle name="Vírgula 4 2 2" xfId="60"/>
    <cellStyle name="Vírgula 4 3" xfId="61"/>
    <cellStyle name="Vírgula 5" xfId="62"/>
    <cellStyle name="Vírgula 6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2</xdr:row>
      <xdr:rowOff>152400</xdr:rowOff>
    </xdr:from>
    <xdr:to>
      <xdr:col>2</xdr:col>
      <xdr:colOff>799576</xdr:colOff>
      <xdr:row>8</xdr:row>
      <xdr:rowOff>19050</xdr:rowOff>
    </xdr:to>
    <xdr:pic>
      <xdr:nvPicPr>
        <xdr:cNvPr id="24641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8601" y="285750"/>
          <a:ext cx="12948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0</xdr:rowOff>
    </xdr:from>
    <xdr:to>
      <xdr:col>2</xdr:col>
      <xdr:colOff>152400</xdr:colOff>
      <xdr:row>33</xdr:row>
      <xdr:rowOff>152400</xdr:rowOff>
    </xdr:to>
    <xdr:sp macro="" textlink="">
      <xdr:nvSpPr>
        <xdr:cNvPr id="2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23348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152400</xdr:colOff>
      <xdr:row>33</xdr:row>
      <xdr:rowOff>152400</xdr:rowOff>
    </xdr:to>
    <xdr:sp macro="" textlink="">
      <xdr:nvSpPr>
        <xdr:cNvPr id="3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41827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152400</xdr:colOff>
      <xdr:row>33</xdr:row>
      <xdr:rowOff>152400</xdr:rowOff>
    </xdr:to>
    <xdr:sp macro="" textlink="">
      <xdr:nvSpPr>
        <xdr:cNvPr id="4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318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152400</xdr:colOff>
      <xdr:row>33</xdr:row>
      <xdr:rowOff>152400</xdr:rowOff>
    </xdr:to>
    <xdr:sp macro="" textlink="">
      <xdr:nvSpPr>
        <xdr:cNvPr id="5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50317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9525</xdr:rowOff>
    </xdr:from>
    <xdr:to>
      <xdr:col>2</xdr:col>
      <xdr:colOff>447674</xdr:colOff>
      <xdr:row>7</xdr:row>
      <xdr:rowOff>151719</xdr:rowOff>
    </xdr:to>
    <xdr:pic>
      <xdr:nvPicPr>
        <xdr:cNvPr id="2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624" y="57150"/>
          <a:ext cx="1400175" cy="1389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showGridLines="0" workbookViewId="0">
      <selection activeCell="H20" sqref="H20"/>
    </sheetView>
  </sheetViews>
  <sheetFormatPr defaultColWidth="11.44140625" defaultRowHeight="13.2"/>
  <cols>
    <col min="1" max="1" width="0.6640625" style="10" customWidth="1"/>
    <col min="2" max="2" width="10.109375" style="10" customWidth="1"/>
    <col min="3" max="3" width="45.109375" style="10" customWidth="1"/>
    <col min="4" max="4" width="7.88671875" style="10" customWidth="1"/>
    <col min="5" max="5" width="20.88671875" style="10" customWidth="1"/>
    <col min="6" max="6" width="0.6640625" style="10" customWidth="1"/>
    <col min="7" max="16384" width="11.44140625" style="10"/>
  </cols>
  <sheetData>
    <row r="1" spans="1:6" ht="33" customHeight="1" thickBot="1"/>
    <row r="2" spans="1:6" ht="5.25" customHeight="1">
      <c r="A2" s="24"/>
      <c r="B2" s="129"/>
      <c r="C2" s="124"/>
      <c r="D2" s="124"/>
      <c r="E2" s="132"/>
      <c r="F2" s="24"/>
    </row>
    <row r="3" spans="1:6" ht="25.5" customHeight="1">
      <c r="A3" s="24"/>
      <c r="B3" s="199" t="s">
        <v>19</v>
      </c>
      <c r="C3" s="200"/>
      <c r="D3" s="200"/>
      <c r="E3" s="201"/>
      <c r="F3" s="24"/>
    </row>
    <row r="4" spans="1:6" ht="27" customHeight="1">
      <c r="A4" s="24"/>
      <c r="B4" s="206" t="str">
        <f>'planilha de orçamento'!B5:I5</f>
        <v xml:space="preserve">            Execução de Obras de Urbanização do Canteiro Central da Avenida Goiás</v>
      </c>
      <c r="C4" s="207"/>
      <c r="D4" s="207"/>
      <c r="E4" s="208"/>
      <c r="F4" s="24"/>
    </row>
    <row r="5" spans="1:6" ht="27" customHeight="1">
      <c r="A5" s="24"/>
      <c r="B5" s="206" t="str">
        <f>'planilha de orçamento'!B6:I6</f>
        <v xml:space="preserve">            LOTE 02 -OBRAS DE CALÇAMENTO E PAISAGISMO</v>
      </c>
      <c r="C5" s="207"/>
      <c r="D5" s="207"/>
      <c r="E5" s="208"/>
      <c r="F5" s="24"/>
    </row>
    <row r="6" spans="1:6" ht="24" customHeight="1" thickBot="1">
      <c r="A6" s="24"/>
      <c r="B6" s="211" t="str">
        <f>'planilha de orçamento'!B7:I7</f>
        <v xml:space="preserve">                                  Local da Obra: Núcleo urbano                                                                                                                                          Coordenadas geograficas da Obra:Latitude 14°48'21.19"S - Longitude 53°36'34.07"O</v>
      </c>
      <c r="C6" s="212"/>
      <c r="D6" s="212"/>
      <c r="E6" s="213"/>
      <c r="F6" s="24"/>
    </row>
    <row r="7" spans="1:6" ht="21" customHeight="1" thickBot="1">
      <c r="A7" s="24"/>
      <c r="B7" s="214" t="str">
        <f>'planilha de orçamento'!H11</f>
        <v>DATA:07/03/2019</v>
      </c>
      <c r="C7" s="215"/>
      <c r="D7" s="133"/>
      <c r="E7" s="134" t="str">
        <f>'planilha de orçamento'!H8</f>
        <v>B.D.I: 27,63%</v>
      </c>
      <c r="F7" s="128"/>
    </row>
    <row r="8" spans="1:6" ht="6.75" customHeight="1">
      <c r="A8" s="24"/>
      <c r="B8" s="131"/>
      <c r="C8" s="125"/>
      <c r="D8" s="125"/>
      <c r="E8" s="125"/>
      <c r="F8" s="24"/>
    </row>
    <row r="9" spans="1:6">
      <c r="A9" s="24"/>
      <c r="B9" s="209" t="s">
        <v>20</v>
      </c>
      <c r="C9" s="209" t="s">
        <v>8</v>
      </c>
      <c r="D9" s="209" t="s">
        <v>9</v>
      </c>
      <c r="E9" s="135" t="s">
        <v>10</v>
      </c>
      <c r="F9" s="24"/>
    </row>
    <row r="10" spans="1:6">
      <c r="A10" s="24"/>
      <c r="B10" s="209"/>
      <c r="C10" s="209"/>
      <c r="D10" s="209"/>
      <c r="E10" s="135" t="s">
        <v>11</v>
      </c>
      <c r="F10" s="24"/>
    </row>
    <row r="11" spans="1:6" hidden="1">
      <c r="A11" s="24"/>
      <c r="B11" s="202">
        <v>1</v>
      </c>
      <c r="C11" s="203" t="s">
        <v>54</v>
      </c>
      <c r="D11" s="216">
        <f>(E11/E24)</f>
        <v>0</v>
      </c>
      <c r="E11" s="217">
        <f>'planilha de orçamento'!I18</f>
        <v>0</v>
      </c>
      <c r="F11" s="24"/>
    </row>
    <row r="12" spans="1:6" hidden="1">
      <c r="A12" s="24"/>
      <c r="B12" s="202"/>
      <c r="C12" s="203"/>
      <c r="D12" s="216"/>
      <c r="E12" s="217"/>
      <c r="F12" s="24"/>
    </row>
    <row r="13" spans="1:6">
      <c r="A13" s="24"/>
      <c r="B13" s="202">
        <v>1</v>
      </c>
      <c r="C13" s="203" t="s">
        <v>21</v>
      </c>
      <c r="D13" s="204">
        <f>E13/$E$24</f>
        <v>3.4759064669422648E-2</v>
      </c>
      <c r="E13" s="210">
        <f>'planilha de orçamento'!I24</f>
        <v>19551.920000000002</v>
      </c>
      <c r="F13" s="24"/>
    </row>
    <row r="14" spans="1:6">
      <c r="A14" s="24"/>
      <c r="B14" s="202"/>
      <c r="C14" s="203"/>
      <c r="D14" s="204"/>
      <c r="E14" s="210"/>
      <c r="F14" s="24"/>
    </row>
    <row r="15" spans="1:6" ht="5.25" hidden="1" customHeight="1">
      <c r="A15" s="24"/>
      <c r="B15" s="202"/>
      <c r="C15" s="203"/>
      <c r="D15" s="204"/>
      <c r="E15" s="210"/>
      <c r="F15" s="24"/>
    </row>
    <row r="16" spans="1:6">
      <c r="A16" s="24"/>
      <c r="B16" s="218">
        <v>2</v>
      </c>
      <c r="C16" s="220" t="s">
        <v>143</v>
      </c>
      <c r="D16" s="222"/>
      <c r="E16" s="224">
        <v>6822.4</v>
      </c>
      <c r="F16" s="24"/>
    </row>
    <row r="17" spans="1:6">
      <c r="A17" s="24"/>
      <c r="B17" s="219"/>
      <c r="C17" s="221"/>
      <c r="D17" s="223"/>
      <c r="E17" s="225"/>
      <c r="F17" s="24"/>
    </row>
    <row r="18" spans="1:6">
      <c r="A18" s="24"/>
      <c r="B18" s="202">
        <v>2</v>
      </c>
      <c r="C18" s="203" t="s">
        <v>22</v>
      </c>
      <c r="D18" s="204">
        <f>E18/$E$24</f>
        <v>8.1078641194477968E-2</v>
      </c>
      <c r="E18" s="205">
        <f>'planilha de orçamento'!I33</f>
        <v>45606.61</v>
      </c>
      <c r="F18" s="24"/>
    </row>
    <row r="19" spans="1:6">
      <c r="A19" s="24"/>
      <c r="B19" s="202"/>
      <c r="C19" s="203"/>
      <c r="D19" s="204"/>
      <c r="E19" s="205"/>
      <c r="F19" s="24"/>
    </row>
    <row r="20" spans="1:6">
      <c r="A20" s="24"/>
      <c r="B20" s="202">
        <v>3</v>
      </c>
      <c r="C20" s="203" t="s">
        <v>112</v>
      </c>
      <c r="D20" s="204">
        <f>E20/$E$24</f>
        <v>0.86761535076230001</v>
      </c>
      <c r="E20" s="205">
        <f>('planilha de orçamento'!I43)</f>
        <v>488032.29000000004</v>
      </c>
      <c r="F20" s="24"/>
    </row>
    <row r="21" spans="1:6" ht="19.5" customHeight="1">
      <c r="A21" s="24"/>
      <c r="B21" s="202"/>
      <c r="C21" s="203"/>
      <c r="D21" s="204"/>
      <c r="E21" s="205"/>
      <c r="F21" s="24"/>
    </row>
    <row r="22" spans="1:6">
      <c r="A22" s="24"/>
      <c r="B22" s="202">
        <v>4</v>
      </c>
      <c r="C22" s="203" t="s">
        <v>48</v>
      </c>
      <c r="D22" s="204">
        <f>E22/$E$24</f>
        <v>4.4181988412590294E-3</v>
      </c>
      <c r="E22" s="205">
        <f>('planilha de orçamento'!I47)</f>
        <v>2485.23</v>
      </c>
      <c r="F22" s="24"/>
    </row>
    <row r="23" spans="1:6" ht="18" customHeight="1" thickBot="1">
      <c r="A23" s="24"/>
      <c r="B23" s="202"/>
      <c r="C23" s="203"/>
      <c r="D23" s="204"/>
      <c r="E23" s="205"/>
      <c r="F23" s="24"/>
    </row>
    <row r="24" spans="1:6">
      <c r="A24" s="24"/>
      <c r="B24" s="226" t="s">
        <v>16</v>
      </c>
      <c r="C24" s="227"/>
      <c r="D24" s="138">
        <f>SUM(D11:D23)</f>
        <v>0.98787125546745969</v>
      </c>
      <c r="E24" s="136">
        <f>SUM(E11:E23)</f>
        <v>562498.44999999995</v>
      </c>
      <c r="F24" s="24"/>
    </row>
    <row r="25" spans="1:6" ht="5.25" customHeight="1" thickBot="1">
      <c r="A25" s="24"/>
      <c r="B25" s="130"/>
      <c r="C25" s="25"/>
      <c r="D25" s="139"/>
      <c r="E25" s="137"/>
      <c r="F25" s="24"/>
    </row>
    <row r="26" spans="1:6">
      <c r="B26" s="23"/>
      <c r="C26" s="49"/>
      <c r="D26" s="49"/>
      <c r="E26" s="49"/>
    </row>
    <row r="27" spans="1:6">
      <c r="B27" s="23"/>
      <c r="C27" s="23"/>
      <c r="D27" s="23"/>
      <c r="E27" s="23"/>
    </row>
    <row r="28" spans="1:6">
      <c r="D28" s="24"/>
      <c r="E28" s="24"/>
    </row>
    <row r="29" spans="1:6">
      <c r="D29" s="24"/>
      <c r="E29" s="50"/>
    </row>
    <row r="30" spans="1:6">
      <c r="D30" s="24"/>
      <c r="E30" s="50"/>
    </row>
    <row r="31" spans="1:6">
      <c r="E31" s="51"/>
    </row>
  </sheetData>
  <mergeCells count="33">
    <mergeCell ref="B24:C24"/>
    <mergeCell ref="B22:B23"/>
    <mergeCell ref="C22:C23"/>
    <mergeCell ref="D22:D23"/>
    <mergeCell ref="E22:E23"/>
    <mergeCell ref="B4:E4"/>
    <mergeCell ref="D11:D12"/>
    <mergeCell ref="E11:E12"/>
    <mergeCell ref="C13:C15"/>
    <mergeCell ref="B20:B21"/>
    <mergeCell ref="C20:C21"/>
    <mergeCell ref="D20:D21"/>
    <mergeCell ref="E20:E21"/>
    <mergeCell ref="B16:B17"/>
    <mergeCell ref="C16:C17"/>
    <mergeCell ref="D16:D17"/>
    <mergeCell ref="E16:E17"/>
    <mergeCell ref="B3:E3"/>
    <mergeCell ref="B18:B19"/>
    <mergeCell ref="C18:C19"/>
    <mergeCell ref="D18:D19"/>
    <mergeCell ref="E18:E19"/>
    <mergeCell ref="B5:E5"/>
    <mergeCell ref="B9:B10"/>
    <mergeCell ref="C9:C10"/>
    <mergeCell ref="D9:D10"/>
    <mergeCell ref="B13:B15"/>
    <mergeCell ref="D13:D15"/>
    <mergeCell ref="E13:E15"/>
    <mergeCell ref="B6:E6"/>
    <mergeCell ref="B7:C7"/>
    <mergeCell ref="B11:B12"/>
    <mergeCell ref="C11:C12"/>
  </mergeCells>
  <printOptions horizontalCentered="1"/>
  <pageMargins left="0.59055118110236227" right="0.59055118110236227" top="1.3779527559055118" bottom="0.78740157480314965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9"/>
  <sheetViews>
    <sheetView tabSelected="1" view="pageBreakPreview" topLeftCell="A40" zoomScaleNormal="85" zoomScaleSheetLayoutView="100" workbookViewId="0">
      <selection activeCell="C45" sqref="C45:E46"/>
    </sheetView>
  </sheetViews>
  <sheetFormatPr defaultRowHeight="13.2"/>
  <cols>
    <col min="1" max="1" width="3.5546875" customWidth="1"/>
    <col min="2" max="2" width="7.33203125" customWidth="1"/>
    <col min="3" max="3" width="68.33203125" customWidth="1"/>
    <col min="4" max="4" width="5" style="3" customWidth="1"/>
    <col min="5" max="5" width="12.88671875" style="4" customWidth="1"/>
    <col min="6" max="6" width="9.109375" style="4" bestFit="1" customWidth="1"/>
    <col min="7" max="7" width="10" style="5" customWidth="1"/>
    <col min="8" max="8" width="10.88671875" customWidth="1"/>
    <col min="9" max="9" width="11" bestFit="1" customWidth="1"/>
    <col min="10" max="10" width="8.33203125" hidden="1" customWidth="1"/>
    <col min="11" max="11" width="12.109375" hidden="1" customWidth="1"/>
    <col min="12" max="12" width="12.109375" customWidth="1"/>
    <col min="13" max="13" width="12.5546875" customWidth="1"/>
    <col min="14" max="14" width="10.109375" style="8" bestFit="1" customWidth="1"/>
    <col min="15" max="15" width="11.5546875" bestFit="1" customWidth="1"/>
  </cols>
  <sheetData>
    <row r="1" spans="2:17" ht="5.25" customHeight="1" thickBot="1"/>
    <row r="2" spans="2:17" s="1" customFormat="1" ht="5.25" customHeight="1">
      <c r="B2" s="257"/>
      <c r="C2" s="258"/>
      <c r="D2" s="258"/>
      <c r="E2" s="258"/>
      <c r="F2" s="258"/>
      <c r="G2" s="258"/>
      <c r="H2" s="258"/>
      <c r="I2" s="259"/>
      <c r="J2" s="89"/>
      <c r="K2" s="89"/>
      <c r="L2" s="55"/>
      <c r="N2" s="6"/>
    </row>
    <row r="3" spans="2:17" s="1" customFormat="1" ht="20.25" customHeight="1">
      <c r="B3" s="278" t="s">
        <v>50</v>
      </c>
      <c r="C3" s="279"/>
      <c r="D3" s="279"/>
      <c r="E3" s="279"/>
      <c r="F3" s="279"/>
      <c r="G3" s="279"/>
      <c r="H3" s="279"/>
      <c r="I3" s="280"/>
      <c r="J3" s="86"/>
      <c r="K3" s="86"/>
      <c r="L3" s="74"/>
      <c r="N3" s="6"/>
    </row>
    <row r="4" spans="2:17" s="1" customFormat="1" ht="2.25" customHeight="1">
      <c r="B4" s="140"/>
      <c r="C4" s="86"/>
      <c r="D4" s="86"/>
      <c r="E4" s="86"/>
      <c r="F4" s="86"/>
      <c r="G4" s="86"/>
      <c r="H4" s="86"/>
      <c r="I4" s="141"/>
      <c r="J4" s="86"/>
      <c r="K4" s="86"/>
      <c r="L4" s="74"/>
      <c r="N4" s="6"/>
    </row>
    <row r="5" spans="2:17" s="1" customFormat="1" ht="15" customHeight="1">
      <c r="B5" s="275" t="s">
        <v>117</v>
      </c>
      <c r="C5" s="276"/>
      <c r="D5" s="276"/>
      <c r="E5" s="276"/>
      <c r="F5" s="276"/>
      <c r="G5" s="276"/>
      <c r="H5" s="276"/>
      <c r="I5" s="277"/>
      <c r="J5" s="87"/>
      <c r="K5" s="87"/>
      <c r="L5" s="152"/>
      <c r="N5" s="6"/>
    </row>
    <row r="6" spans="2:17" s="1" customFormat="1" ht="22.5" customHeight="1">
      <c r="B6" s="275" t="s">
        <v>118</v>
      </c>
      <c r="C6" s="276"/>
      <c r="D6" s="276"/>
      <c r="E6" s="276"/>
      <c r="F6" s="276"/>
      <c r="G6" s="276"/>
      <c r="H6" s="276"/>
      <c r="I6" s="277"/>
      <c r="J6" s="87"/>
      <c r="K6" s="87"/>
      <c r="L6" s="74"/>
      <c r="N6" s="6"/>
    </row>
    <row r="7" spans="2:17" s="1" customFormat="1" ht="42" customHeight="1">
      <c r="B7" s="275" t="s">
        <v>114</v>
      </c>
      <c r="C7" s="276"/>
      <c r="D7" s="276"/>
      <c r="E7" s="276"/>
      <c r="F7" s="276"/>
      <c r="G7" s="276"/>
      <c r="H7" s="276"/>
      <c r="I7" s="277"/>
      <c r="J7" s="88"/>
      <c r="K7" s="88"/>
      <c r="L7" s="9"/>
      <c r="N7" s="6"/>
    </row>
    <row r="8" spans="2:17" s="1" customFormat="1" ht="17.25" customHeight="1">
      <c r="B8" s="275" t="s">
        <v>62</v>
      </c>
      <c r="C8" s="276"/>
      <c r="D8" s="276"/>
      <c r="E8" s="276"/>
      <c r="F8" s="276"/>
      <c r="G8" s="276"/>
      <c r="H8" s="281" t="s">
        <v>49</v>
      </c>
      <c r="I8" s="282"/>
      <c r="J8" s="241" t="s">
        <v>49</v>
      </c>
      <c r="K8" s="241"/>
      <c r="L8" s="74"/>
      <c r="N8" s="6"/>
    </row>
    <row r="9" spans="2:17" s="1" customFormat="1" ht="12.6" customHeight="1">
      <c r="B9" s="249" t="s">
        <v>53</v>
      </c>
      <c r="C9" s="250"/>
      <c r="D9" s="250"/>
      <c r="E9" s="250"/>
      <c r="F9" s="250"/>
      <c r="G9" s="250"/>
      <c r="H9" s="250"/>
      <c r="I9" s="251"/>
      <c r="J9" s="241" t="s">
        <v>49</v>
      </c>
      <c r="K9" s="241"/>
      <c r="L9" s="74"/>
      <c r="N9" s="6"/>
    </row>
    <row r="10" spans="2:17" s="1" customFormat="1" ht="4.8" customHeight="1" thickBot="1">
      <c r="B10" s="246"/>
      <c r="C10" s="247"/>
      <c r="D10" s="247"/>
      <c r="E10" s="247"/>
      <c r="F10" s="247"/>
      <c r="G10" s="247"/>
      <c r="H10" s="247"/>
      <c r="I10" s="248"/>
      <c r="J10" s="73"/>
      <c r="K10" s="54"/>
      <c r="L10" s="54"/>
      <c r="N10" s="6"/>
    </row>
    <row r="11" spans="2:17" s="1" customFormat="1" ht="21" customHeight="1">
      <c r="B11" s="253" t="s">
        <v>89</v>
      </c>
      <c r="C11" s="254"/>
      <c r="D11" s="254"/>
      <c r="E11" s="254"/>
      <c r="F11" s="254"/>
      <c r="G11" s="254"/>
      <c r="H11" s="255" t="s">
        <v>127</v>
      </c>
      <c r="I11" s="256"/>
      <c r="J11" s="252" t="s">
        <v>37</v>
      </c>
      <c r="K11" s="252"/>
      <c r="L11" s="56"/>
      <c r="N11" s="6"/>
    </row>
    <row r="12" spans="2:17" s="1" customFormat="1" ht="1.5" customHeight="1">
      <c r="B12" s="262"/>
      <c r="C12" s="263"/>
      <c r="D12" s="263"/>
      <c r="E12" s="263"/>
      <c r="F12" s="263"/>
      <c r="G12" s="264"/>
      <c r="H12" s="264"/>
      <c r="I12" s="265"/>
      <c r="J12" s="74"/>
      <c r="K12" s="74"/>
      <c r="L12" s="74"/>
      <c r="N12" s="6"/>
    </row>
    <row r="13" spans="2:17" s="1" customFormat="1" ht="13.8">
      <c r="B13" s="266" t="s">
        <v>0</v>
      </c>
      <c r="C13" s="237" t="s">
        <v>1</v>
      </c>
      <c r="D13" s="237" t="s">
        <v>2</v>
      </c>
      <c r="E13" s="243" t="s">
        <v>38</v>
      </c>
      <c r="F13" s="242" t="s">
        <v>32</v>
      </c>
      <c r="G13" s="269" t="s">
        <v>31</v>
      </c>
      <c r="H13" s="270"/>
      <c r="I13" s="271"/>
      <c r="J13" s="236">
        <v>42933</v>
      </c>
      <c r="K13" s="236"/>
      <c r="L13" s="57"/>
      <c r="N13" s="6"/>
    </row>
    <row r="14" spans="2:17" s="1" customFormat="1" ht="15" customHeight="1">
      <c r="B14" s="267"/>
      <c r="C14" s="237"/>
      <c r="D14" s="237"/>
      <c r="E14" s="244"/>
      <c r="F14" s="242"/>
      <c r="G14" s="272"/>
      <c r="H14" s="273"/>
      <c r="I14" s="274"/>
      <c r="J14" s="238" t="s">
        <v>34</v>
      </c>
      <c r="K14" s="238"/>
      <c r="L14" s="58"/>
      <c r="N14" s="6"/>
    </row>
    <row r="15" spans="2:17" s="2" customFormat="1" ht="12.75" customHeight="1">
      <c r="B15" s="268"/>
      <c r="C15" s="237"/>
      <c r="D15" s="237"/>
      <c r="E15" s="245"/>
      <c r="F15" s="242"/>
      <c r="G15" s="53" t="s">
        <v>3</v>
      </c>
      <c r="H15" s="53" t="s">
        <v>28</v>
      </c>
      <c r="I15" s="53" t="s">
        <v>29</v>
      </c>
      <c r="J15" s="90" t="s">
        <v>9</v>
      </c>
      <c r="K15" s="91" t="s">
        <v>35</v>
      </c>
      <c r="L15" s="59"/>
      <c r="M15" s="7"/>
      <c r="N15" s="7"/>
    </row>
    <row r="16" spans="2:17" s="1" customFormat="1" ht="15.75" customHeight="1">
      <c r="B16" s="113"/>
      <c r="C16" s="20"/>
      <c r="D16" s="19"/>
      <c r="E16" s="17"/>
      <c r="F16" s="21"/>
      <c r="G16" s="16"/>
      <c r="H16" s="22">
        <v>0.27629999999999999</v>
      </c>
      <c r="I16" s="22"/>
      <c r="J16" s="239" t="s">
        <v>36</v>
      </c>
      <c r="K16" s="240"/>
      <c r="L16" s="60"/>
      <c r="N16" s="232"/>
      <c r="O16" s="232"/>
      <c r="P16" s="232"/>
      <c r="Q16" s="71"/>
    </row>
    <row r="17" spans="2:17" s="2" customFormat="1" ht="30.75" hidden="1" customHeight="1">
      <c r="B17" s="114" t="s">
        <v>56</v>
      </c>
      <c r="C17" s="69" t="s">
        <v>52</v>
      </c>
      <c r="D17" s="146" t="s">
        <v>47</v>
      </c>
      <c r="E17" s="145" t="s">
        <v>45</v>
      </c>
      <c r="F17" s="66">
        <v>0</v>
      </c>
      <c r="G17" s="67">
        <v>5213.68</v>
      </c>
      <c r="H17" s="68">
        <f>TRUNC(G17*$H$16+G17,2)</f>
        <v>6654.21</v>
      </c>
      <c r="I17" s="68">
        <f>TRUNC(H17*F17,2)</f>
        <v>0</v>
      </c>
      <c r="J17" s="92">
        <v>0</v>
      </c>
      <c r="K17" s="93" t="e">
        <f>(J17*#REF!)</f>
        <v>#REF!</v>
      </c>
      <c r="L17" s="61"/>
      <c r="N17" s="232"/>
      <c r="O17" s="232"/>
      <c r="P17" s="232"/>
      <c r="Q17" s="71"/>
    </row>
    <row r="18" spans="2:17" s="2" customFormat="1" ht="15.75" hidden="1" customHeight="1">
      <c r="B18" s="233" t="s">
        <v>6</v>
      </c>
      <c r="C18" s="234"/>
      <c r="D18" s="234"/>
      <c r="E18" s="234"/>
      <c r="F18" s="235"/>
      <c r="G18" s="229">
        <f>(100%)</f>
        <v>1</v>
      </c>
      <c r="H18" s="230"/>
      <c r="I18" s="115">
        <f>SUM(I17)</f>
        <v>0</v>
      </c>
      <c r="J18" s="94" t="e">
        <f>(K18/#REF!)</f>
        <v>#REF!</v>
      </c>
      <c r="K18" s="95" t="e">
        <f>SUM(K16:K17)</f>
        <v>#REF!</v>
      </c>
      <c r="L18" s="62"/>
      <c r="N18" s="7"/>
    </row>
    <row r="19" spans="2:17" s="76" customFormat="1" ht="15.75" customHeight="1">
      <c r="B19" s="113">
        <v>1</v>
      </c>
      <c r="C19" s="20" t="s">
        <v>4</v>
      </c>
      <c r="D19" s="19"/>
      <c r="E19" s="17"/>
      <c r="F19" s="21"/>
      <c r="G19" s="16"/>
      <c r="H19" s="22"/>
      <c r="I19" s="22"/>
      <c r="J19" s="231" t="s">
        <v>36</v>
      </c>
      <c r="K19" s="231"/>
      <c r="L19" s="75"/>
      <c r="N19" s="228"/>
      <c r="O19" s="228"/>
      <c r="P19" s="228"/>
      <c r="Q19" s="77"/>
    </row>
    <row r="20" spans="2:17" s="79" customFormat="1" ht="18" customHeight="1">
      <c r="B20" s="114" t="s">
        <v>56</v>
      </c>
      <c r="C20" s="69" t="s">
        <v>27</v>
      </c>
      <c r="D20" s="18" t="s">
        <v>40</v>
      </c>
      <c r="E20" s="111" t="s">
        <v>43</v>
      </c>
      <c r="F20" s="66">
        <v>2.5</v>
      </c>
      <c r="G20" s="67">
        <v>499.09</v>
      </c>
      <c r="H20" s="68">
        <f>TRUNC(G20*$H$16+G20,2)</f>
        <v>636.98</v>
      </c>
      <c r="I20" s="68">
        <f>TRUNC(H20*F20,2)</f>
        <v>1592.45</v>
      </c>
      <c r="J20" s="96">
        <v>0</v>
      </c>
      <c r="K20" s="97" t="e">
        <f>(J20*#REF!)</f>
        <v>#REF!</v>
      </c>
      <c r="L20" s="78"/>
      <c r="N20" s="228"/>
      <c r="O20" s="228"/>
      <c r="P20" s="228"/>
      <c r="Q20" s="80"/>
    </row>
    <row r="21" spans="2:17" s="79" customFormat="1" ht="18" customHeight="1">
      <c r="B21" s="114" t="s">
        <v>76</v>
      </c>
      <c r="C21" s="153" t="s">
        <v>52</v>
      </c>
      <c r="D21" s="186" t="s">
        <v>78</v>
      </c>
      <c r="E21" s="187" t="s">
        <v>45</v>
      </c>
      <c r="F21" s="66">
        <v>1</v>
      </c>
      <c r="G21" s="67">
        <v>5232.72</v>
      </c>
      <c r="H21" s="68">
        <f>TRUNC(G21*$H$16+G21,2)</f>
        <v>6678.52</v>
      </c>
      <c r="I21" s="68">
        <f>TRUNC(H21*F21,2)</f>
        <v>6678.52</v>
      </c>
      <c r="J21" s="96">
        <v>0</v>
      </c>
      <c r="K21" s="97" t="e">
        <f>(J21*#REF!)</f>
        <v>#REF!</v>
      </c>
      <c r="L21" s="78"/>
      <c r="N21" s="228"/>
      <c r="O21" s="228"/>
      <c r="P21" s="228"/>
      <c r="Q21" s="80"/>
    </row>
    <row r="22" spans="2:17" s="79" customFormat="1" ht="34.5" customHeight="1">
      <c r="B22" s="114" t="s">
        <v>88</v>
      </c>
      <c r="C22" s="69" t="s">
        <v>44</v>
      </c>
      <c r="D22" s="18" t="s">
        <v>40</v>
      </c>
      <c r="E22" s="112">
        <v>93584</v>
      </c>
      <c r="F22" s="66">
        <v>6</v>
      </c>
      <c r="G22" s="67">
        <v>476.45</v>
      </c>
      <c r="H22" s="68">
        <f>TRUNC(G22*$H$16+G22,2)</f>
        <v>608.09</v>
      </c>
      <c r="I22" s="68">
        <f>TRUNC(H22*F22,2)</f>
        <v>3648.54</v>
      </c>
      <c r="J22" s="96">
        <v>1</v>
      </c>
      <c r="K22" s="97" t="e">
        <f>(J22*#REF!)</f>
        <v>#REF!</v>
      </c>
      <c r="L22" s="78"/>
      <c r="N22" s="81"/>
    </row>
    <row r="23" spans="2:17" s="79" customFormat="1" ht="20.25" customHeight="1">
      <c r="B23" s="114" t="s">
        <v>115</v>
      </c>
      <c r="C23" s="153" t="s">
        <v>87</v>
      </c>
      <c r="D23" s="18" t="s">
        <v>40</v>
      </c>
      <c r="E23" s="154" t="s">
        <v>86</v>
      </c>
      <c r="F23" s="66">
        <v>11224.14</v>
      </c>
      <c r="G23" s="67">
        <v>0.54</v>
      </c>
      <c r="H23" s="68">
        <f>TRUNC(G23*$H$16+G23,2)</f>
        <v>0.68</v>
      </c>
      <c r="I23" s="68">
        <f>TRUNC(H23*F23,2)</f>
        <v>7632.41</v>
      </c>
      <c r="J23" s="96">
        <v>1</v>
      </c>
      <c r="K23" s="97" t="e">
        <f>(J23*#REF!)</f>
        <v>#REF!</v>
      </c>
      <c r="L23" s="78"/>
      <c r="N23" s="81"/>
    </row>
    <row r="24" spans="2:17" s="2" customFormat="1" ht="15.75" customHeight="1">
      <c r="B24" s="233" t="s">
        <v>6</v>
      </c>
      <c r="C24" s="234"/>
      <c r="D24" s="234"/>
      <c r="E24" s="234"/>
      <c r="F24" s="234"/>
      <c r="G24" s="229">
        <f>(100%)</f>
        <v>1</v>
      </c>
      <c r="H24" s="230"/>
      <c r="I24" s="115">
        <f>SUM(I20:I23)</f>
        <v>19551.920000000002</v>
      </c>
      <c r="J24" s="94" t="e">
        <f>(K24/#REF!)</f>
        <v>#REF!</v>
      </c>
      <c r="K24" s="95" t="e">
        <f>SUM(K20:K22)</f>
        <v>#REF!</v>
      </c>
      <c r="L24" s="62"/>
      <c r="N24" s="7"/>
    </row>
    <row r="25" spans="2:17" s="79" customFormat="1" ht="21" customHeight="1">
      <c r="B25" s="113">
        <v>2</v>
      </c>
      <c r="C25" s="20" t="s">
        <v>134</v>
      </c>
      <c r="D25" s="260"/>
      <c r="E25" s="260"/>
      <c r="F25" s="260"/>
      <c r="G25" s="260"/>
      <c r="H25" s="260"/>
      <c r="I25" s="261"/>
      <c r="J25" s="78"/>
      <c r="K25" s="78"/>
      <c r="L25" s="82"/>
      <c r="N25" s="81"/>
    </row>
    <row r="26" spans="2:17" s="79" customFormat="1" ht="33" customHeight="1">
      <c r="B26" s="114" t="s">
        <v>57</v>
      </c>
      <c r="C26" s="150" t="s">
        <v>130</v>
      </c>
      <c r="D26" s="186" t="s">
        <v>39</v>
      </c>
      <c r="E26" s="187" t="s">
        <v>74</v>
      </c>
      <c r="F26" s="66">
        <v>640</v>
      </c>
      <c r="G26" s="67">
        <v>8.36</v>
      </c>
      <c r="H26" s="68">
        <f>TRUNC((G26*$H$16)+G26,2)</f>
        <v>10.66</v>
      </c>
      <c r="I26" s="68">
        <f>TRUNC(H26*F26,2)</f>
        <v>6822.4</v>
      </c>
      <c r="J26" s="96">
        <v>0</v>
      </c>
      <c r="K26" s="97" t="e">
        <f>(J26*#REF!)</f>
        <v>#REF!</v>
      </c>
      <c r="L26" s="78"/>
      <c r="N26" s="81"/>
    </row>
    <row r="27" spans="2:17" s="2" customFormat="1" ht="15.75" customHeight="1">
      <c r="B27" s="233"/>
      <c r="C27" s="234"/>
      <c r="D27" s="234"/>
      <c r="E27" s="234"/>
      <c r="F27" s="234"/>
      <c r="G27" s="229">
        <f>(100%)</f>
        <v>1</v>
      </c>
      <c r="H27" s="230"/>
      <c r="I27" s="115">
        <f>SUM(I26)</f>
        <v>6822.4</v>
      </c>
      <c r="J27" s="94">
        <v>0</v>
      </c>
      <c r="K27" s="95" t="e">
        <f>SUM(K22:K23)</f>
        <v>#REF!</v>
      </c>
      <c r="L27" s="62"/>
      <c r="N27" s="7"/>
    </row>
    <row r="28" spans="2:17" s="79" customFormat="1" ht="21" customHeight="1">
      <c r="B28" s="113">
        <v>3</v>
      </c>
      <c r="C28" s="148" t="s">
        <v>5</v>
      </c>
      <c r="D28" s="260"/>
      <c r="E28" s="260"/>
      <c r="F28" s="260"/>
      <c r="G28" s="260"/>
      <c r="H28" s="260"/>
      <c r="I28" s="261"/>
      <c r="J28" s="78"/>
      <c r="K28" s="78"/>
      <c r="L28" s="82"/>
      <c r="N28" s="81"/>
    </row>
    <row r="29" spans="2:17" s="79" customFormat="1" ht="33" customHeight="1">
      <c r="B29" s="155" t="s">
        <v>55</v>
      </c>
      <c r="C29" s="65" t="s">
        <v>61</v>
      </c>
      <c r="D29" s="18" t="s">
        <v>41</v>
      </c>
      <c r="E29" s="144">
        <v>93358</v>
      </c>
      <c r="F29" s="66">
        <f>(F39*0.1*0.15)</f>
        <v>44.827199999999998</v>
      </c>
      <c r="G29" s="67">
        <v>58.94</v>
      </c>
      <c r="H29" s="68">
        <f>TRUNC((G29*$H$16)+G29,2)</f>
        <v>75.22</v>
      </c>
      <c r="I29" s="68">
        <f>TRUNC(H29*F29,2)</f>
        <v>3371.9</v>
      </c>
      <c r="J29" s="96">
        <v>0</v>
      </c>
      <c r="K29" s="97" t="e">
        <f>(J29*#REF!)</f>
        <v>#REF!</v>
      </c>
      <c r="L29" s="78"/>
      <c r="N29" s="81"/>
    </row>
    <row r="30" spans="2:17" s="104" customFormat="1" ht="37.200000000000003" customHeight="1">
      <c r="B30" s="155" t="s">
        <v>58</v>
      </c>
      <c r="C30" s="150" t="s">
        <v>121</v>
      </c>
      <c r="D30" s="151" t="s">
        <v>41</v>
      </c>
      <c r="E30" s="185" t="s">
        <v>122</v>
      </c>
      <c r="F30" s="66">
        <f>TRUNC((F36+F37+F38)*0.1,2)</f>
        <v>332.08</v>
      </c>
      <c r="G30" s="67">
        <v>8.31</v>
      </c>
      <c r="H30" s="68">
        <f t="shared" ref="H30" si="0">TRUNC(G30*$H$16+G30,2)</f>
        <v>10.6</v>
      </c>
      <c r="I30" s="68">
        <f t="shared" ref="I30" si="1">TRUNC(H30*F30,2)</f>
        <v>3520.04</v>
      </c>
      <c r="J30" s="101">
        <v>0</v>
      </c>
      <c r="K30" s="102" t="e">
        <f>(J30*#REF!)</f>
        <v>#REF!</v>
      </c>
      <c r="L30" s="103"/>
      <c r="N30" s="105"/>
    </row>
    <row r="31" spans="2:17" s="104" customFormat="1" ht="42.6" customHeight="1">
      <c r="B31" s="155" t="s">
        <v>75</v>
      </c>
      <c r="C31" s="150" t="s">
        <v>125</v>
      </c>
      <c r="D31" s="151" t="s">
        <v>41</v>
      </c>
      <c r="E31" s="185" t="s">
        <v>124</v>
      </c>
      <c r="F31" s="66">
        <f>TRUNC(F35*0.1,2)</f>
        <v>407.86</v>
      </c>
      <c r="G31" s="67">
        <v>14.83</v>
      </c>
      <c r="H31" s="68">
        <f t="shared" ref="H31" si="2">TRUNC(G31*$H$16+G31,2)</f>
        <v>18.920000000000002</v>
      </c>
      <c r="I31" s="68">
        <f t="shared" ref="I31" si="3">TRUNC(H31*F31,2)</f>
        <v>7716.71</v>
      </c>
      <c r="J31" s="101">
        <v>0</v>
      </c>
      <c r="K31" s="102" t="e">
        <f>(J31*#REF!)</f>
        <v>#REF!</v>
      </c>
      <c r="L31" s="103"/>
      <c r="N31" s="105"/>
    </row>
    <row r="32" spans="2:17" s="104" customFormat="1" ht="27" customHeight="1">
      <c r="B32" s="155" t="s">
        <v>77</v>
      </c>
      <c r="C32" s="150" t="s">
        <v>126</v>
      </c>
      <c r="D32" s="151" t="s">
        <v>40</v>
      </c>
      <c r="E32" s="185">
        <v>85422</v>
      </c>
      <c r="F32" s="66">
        <f>(F35)</f>
        <v>4078.68</v>
      </c>
      <c r="G32" s="67">
        <v>5.96</v>
      </c>
      <c r="H32" s="68">
        <f t="shared" ref="H32" si="4">TRUNC(G32*$H$16+G32,2)</f>
        <v>7.6</v>
      </c>
      <c r="I32" s="68">
        <f t="shared" ref="I32" si="5">TRUNC(H32*F32,2)</f>
        <v>30997.96</v>
      </c>
      <c r="J32" s="101">
        <v>0</v>
      </c>
      <c r="K32" s="102" t="e">
        <f>(J32*#REF!)</f>
        <v>#REF!</v>
      </c>
      <c r="L32" s="103"/>
      <c r="N32" s="105"/>
    </row>
    <row r="33" spans="1:14" s="2" customFormat="1" ht="15.75" customHeight="1">
      <c r="B33" s="233"/>
      <c r="C33" s="234"/>
      <c r="D33" s="234"/>
      <c r="E33" s="234"/>
      <c r="F33" s="234"/>
      <c r="G33" s="229">
        <f>(100%)</f>
        <v>1</v>
      </c>
      <c r="H33" s="230"/>
      <c r="I33" s="115">
        <f>SUM(I29:I32)</f>
        <v>45606.61</v>
      </c>
      <c r="J33" s="94">
        <v>0</v>
      </c>
      <c r="K33" s="95" t="e">
        <f>SUM(K28:K29)</f>
        <v>#REF!</v>
      </c>
      <c r="L33" s="62"/>
      <c r="N33" s="7"/>
    </row>
    <row r="34" spans="1:14" s="84" customFormat="1" ht="19.5" customHeight="1">
      <c r="B34" s="113">
        <v>4</v>
      </c>
      <c r="C34" s="147" t="s">
        <v>80</v>
      </c>
      <c r="D34" s="289"/>
      <c r="E34" s="289"/>
      <c r="F34" s="289"/>
      <c r="G34" s="289"/>
      <c r="H34" s="289"/>
      <c r="I34" s="290"/>
      <c r="J34" s="78"/>
      <c r="K34" s="78"/>
      <c r="L34" s="83"/>
      <c r="N34" s="85"/>
    </row>
    <row r="35" spans="1:14" s="104" customFormat="1" ht="21.75" customHeight="1">
      <c r="B35" s="155" t="s">
        <v>59</v>
      </c>
      <c r="C35" s="150" t="s">
        <v>81</v>
      </c>
      <c r="D35" s="146" t="s">
        <v>40</v>
      </c>
      <c r="E35" s="144">
        <v>85180</v>
      </c>
      <c r="F35" s="66">
        <v>4078.68</v>
      </c>
      <c r="G35" s="67">
        <v>13.49</v>
      </c>
      <c r="H35" s="68">
        <f t="shared" ref="H35:H42" si="6">TRUNC(G35*$H$16+G35,2)</f>
        <v>17.21</v>
      </c>
      <c r="I35" s="68">
        <f t="shared" ref="I35" si="7">TRUNC(H35*F35,2)</f>
        <v>70194.080000000002</v>
      </c>
      <c r="J35" s="101">
        <v>0</v>
      </c>
      <c r="K35" s="102" t="e">
        <f>(J35*#REF!)</f>
        <v>#REF!</v>
      </c>
      <c r="L35" s="103"/>
      <c r="N35" s="105"/>
    </row>
    <row r="36" spans="1:14" s="104" customFormat="1" ht="30.75" customHeight="1">
      <c r="B36" s="155" t="s">
        <v>60</v>
      </c>
      <c r="C36" s="150" t="s">
        <v>82</v>
      </c>
      <c r="D36" s="146" t="s">
        <v>40</v>
      </c>
      <c r="E36" s="144">
        <v>93679</v>
      </c>
      <c r="F36" s="66">
        <v>1539.21</v>
      </c>
      <c r="G36" s="67">
        <v>71.27</v>
      </c>
      <c r="H36" s="68">
        <f t="shared" si="6"/>
        <v>90.96</v>
      </c>
      <c r="I36" s="68">
        <f t="shared" ref="I36" si="8">TRUNC(H36*F36,2)</f>
        <v>140006.54</v>
      </c>
      <c r="J36" s="101">
        <v>0</v>
      </c>
      <c r="K36" s="102" t="e">
        <f>(J36*#REF!)</f>
        <v>#REF!</v>
      </c>
      <c r="L36" s="103"/>
      <c r="N36" s="105"/>
    </row>
    <row r="37" spans="1:14" s="104" customFormat="1" ht="34.200000000000003" customHeight="1">
      <c r="B37" s="155" t="s">
        <v>135</v>
      </c>
      <c r="C37" s="150" t="s">
        <v>83</v>
      </c>
      <c r="D37" s="146" t="s">
        <v>40</v>
      </c>
      <c r="E37" s="144">
        <v>92396</v>
      </c>
      <c r="F37" s="66">
        <v>1539.21</v>
      </c>
      <c r="G37" s="67">
        <v>65.16</v>
      </c>
      <c r="H37" s="68">
        <f t="shared" si="6"/>
        <v>83.16</v>
      </c>
      <c r="I37" s="68">
        <f t="shared" ref="I37" si="9">TRUNC(H37*F37,2)</f>
        <v>128000.7</v>
      </c>
      <c r="J37" s="101">
        <v>0</v>
      </c>
      <c r="K37" s="102" t="e">
        <f>(J37*#REF!)</f>
        <v>#REF!</v>
      </c>
      <c r="L37" s="103"/>
      <c r="N37" s="105"/>
    </row>
    <row r="38" spans="1:14" s="104" customFormat="1" ht="33" customHeight="1">
      <c r="B38" s="155" t="s">
        <v>136</v>
      </c>
      <c r="C38" s="150" t="s">
        <v>85</v>
      </c>
      <c r="D38" s="146" t="s">
        <v>40</v>
      </c>
      <c r="E38" s="144">
        <v>68333</v>
      </c>
      <c r="F38" s="66">
        <v>242.46</v>
      </c>
      <c r="G38" s="67">
        <v>43.11</v>
      </c>
      <c r="H38" s="68">
        <f t="shared" si="6"/>
        <v>55.02</v>
      </c>
      <c r="I38" s="68">
        <f t="shared" ref="I38" si="10">TRUNC(H38*F38,2)</f>
        <v>13340.14</v>
      </c>
      <c r="J38" s="101">
        <v>0</v>
      </c>
      <c r="K38" s="102" t="e">
        <f>(J38*#REF!)</f>
        <v>#REF!</v>
      </c>
      <c r="L38" s="103"/>
      <c r="N38" s="105"/>
    </row>
    <row r="39" spans="1:14" s="104" customFormat="1" ht="30.75" customHeight="1">
      <c r="B39" s="155" t="s">
        <v>137</v>
      </c>
      <c r="C39" s="150" t="s">
        <v>84</v>
      </c>
      <c r="D39" s="151" t="s">
        <v>39</v>
      </c>
      <c r="E39" s="144">
        <v>94264</v>
      </c>
      <c r="F39" s="66">
        <v>2988.48</v>
      </c>
      <c r="G39" s="67">
        <v>26.59</v>
      </c>
      <c r="H39" s="68">
        <f t="shared" si="6"/>
        <v>33.93</v>
      </c>
      <c r="I39" s="68">
        <f t="shared" ref="I39" si="11">TRUNC(H39*F39,2)</f>
        <v>101399.12</v>
      </c>
      <c r="J39" s="101">
        <v>0</v>
      </c>
      <c r="K39" s="102" t="e">
        <f>(J39*#REF!)</f>
        <v>#REF!</v>
      </c>
      <c r="L39" s="103"/>
      <c r="N39" s="105"/>
    </row>
    <row r="40" spans="1:14" s="104" customFormat="1" ht="42" customHeight="1">
      <c r="B40" s="155" t="s">
        <v>137</v>
      </c>
      <c r="C40" s="150" t="s">
        <v>141</v>
      </c>
      <c r="D40" s="151" t="s">
        <v>39</v>
      </c>
      <c r="E40" s="144">
        <v>94265</v>
      </c>
      <c r="F40" s="66">
        <v>640</v>
      </c>
      <c r="G40" s="67">
        <v>31.31</v>
      </c>
      <c r="H40" s="68">
        <f t="shared" ref="H40" si="12">TRUNC(G40*$H$16+G40,2)</f>
        <v>39.96</v>
      </c>
      <c r="I40" s="68">
        <f t="shared" ref="I40" si="13">TRUNC(H40*F40,2)</f>
        <v>25574.400000000001</v>
      </c>
      <c r="J40" s="101">
        <v>0</v>
      </c>
      <c r="K40" s="102" t="e">
        <f>(J40*#REF!)</f>
        <v>#REF!</v>
      </c>
      <c r="L40" s="103"/>
      <c r="N40" s="105"/>
    </row>
    <row r="41" spans="1:14" s="104" customFormat="1" ht="42" customHeight="1">
      <c r="B41" s="155" t="s">
        <v>137</v>
      </c>
      <c r="C41" s="150" t="s">
        <v>142</v>
      </c>
      <c r="D41" s="151" t="s">
        <v>39</v>
      </c>
      <c r="E41" s="144">
        <v>94266</v>
      </c>
      <c r="F41" s="66">
        <f>(21.28*6)</f>
        <v>127.68</v>
      </c>
      <c r="G41" s="67">
        <v>34.47</v>
      </c>
      <c r="H41" s="68">
        <f t="shared" ref="H41" si="14">TRUNC(G41*$H$16+G41,2)</f>
        <v>43.99</v>
      </c>
      <c r="I41" s="68">
        <f t="shared" ref="I41" si="15">TRUNC(H41*F41,2)</f>
        <v>5616.64</v>
      </c>
      <c r="J41" s="101">
        <v>0</v>
      </c>
      <c r="K41" s="102" t="e">
        <f>(J41*#REF!)</f>
        <v>#REF!</v>
      </c>
      <c r="L41" s="103"/>
      <c r="N41" s="105"/>
    </row>
    <row r="42" spans="1:14" ht="40.5" customHeight="1">
      <c r="A42" s="15"/>
      <c r="B42" s="155" t="s">
        <v>138</v>
      </c>
      <c r="C42" s="150" t="s">
        <v>99</v>
      </c>
      <c r="D42" s="151" t="s">
        <v>42</v>
      </c>
      <c r="E42" s="145" t="s">
        <v>144</v>
      </c>
      <c r="F42" s="188">
        <v>38.4</v>
      </c>
      <c r="G42" s="189">
        <v>79.59</v>
      </c>
      <c r="H42" s="190">
        <f t="shared" si="6"/>
        <v>101.58</v>
      </c>
      <c r="I42" s="191">
        <f>TRUNC(H42*F42,2)</f>
        <v>3900.67</v>
      </c>
      <c r="J42" s="181">
        <v>0</v>
      </c>
      <c r="K42" s="182" t="e">
        <f>(J42*#REF!)</f>
        <v>#REF!</v>
      </c>
      <c r="L42" s="183"/>
    </row>
    <row r="43" spans="1:14" s="1" customFormat="1" ht="12.75" customHeight="1">
      <c r="B43" s="233" t="s">
        <v>6</v>
      </c>
      <c r="C43" s="234"/>
      <c r="D43" s="234"/>
      <c r="E43" s="234"/>
      <c r="F43" s="234"/>
      <c r="G43" s="229">
        <f>(100%)</f>
        <v>1</v>
      </c>
      <c r="H43" s="230"/>
      <c r="I43" s="115">
        <f>SUM(I35:I42)</f>
        <v>488032.29000000004</v>
      </c>
      <c r="J43" s="98" t="e">
        <f>(K43/#REF!)</f>
        <v>#REF!</v>
      </c>
      <c r="K43" s="95" t="e">
        <f>SUM(#REF!)</f>
        <v>#REF!</v>
      </c>
      <c r="L43" s="62"/>
      <c r="N43" s="6"/>
    </row>
    <row r="44" spans="1:14" s="84" customFormat="1">
      <c r="B44" s="113">
        <v>5</v>
      </c>
      <c r="C44" s="147" t="s">
        <v>33</v>
      </c>
      <c r="D44" s="289"/>
      <c r="E44" s="289"/>
      <c r="F44" s="289"/>
      <c r="G44" s="289"/>
      <c r="H44" s="289"/>
      <c r="I44" s="290"/>
      <c r="J44" s="78"/>
      <c r="K44" s="78"/>
      <c r="L44" s="83"/>
      <c r="N44" s="85"/>
    </row>
    <row r="45" spans="1:14" s="84" customFormat="1" ht="31.5" customHeight="1">
      <c r="B45" s="155" t="s">
        <v>139</v>
      </c>
      <c r="C45" s="150" t="s">
        <v>146</v>
      </c>
      <c r="D45" s="146" t="s">
        <v>42</v>
      </c>
      <c r="E45" s="144">
        <v>88485</v>
      </c>
      <c r="F45" s="66">
        <f>(F39*0.215)</f>
        <v>642.52319999999997</v>
      </c>
      <c r="G45" s="67">
        <v>1.61</v>
      </c>
      <c r="H45" s="68">
        <f>TRUNC(G45*$H$16+G45,2)</f>
        <v>2.0499999999999998</v>
      </c>
      <c r="I45" s="68">
        <f t="shared" ref="I45:I46" si="16">TRUNC(H45*F45,2)</f>
        <v>1317.17</v>
      </c>
      <c r="J45" s="96">
        <v>0</v>
      </c>
      <c r="K45" s="97" t="e">
        <f>(J45*#REF!)</f>
        <v>#REF!</v>
      </c>
      <c r="L45" s="78"/>
      <c r="N45" s="85"/>
    </row>
    <row r="46" spans="1:14" s="84" customFormat="1" ht="27.75" customHeight="1">
      <c r="B46" s="155" t="s">
        <v>140</v>
      </c>
      <c r="C46" s="150" t="s">
        <v>147</v>
      </c>
      <c r="D46" s="146" t="s">
        <v>42</v>
      </c>
      <c r="E46" s="144">
        <v>88485</v>
      </c>
      <c r="F46" s="66">
        <v>569.79</v>
      </c>
      <c r="G46" s="67">
        <v>1.61</v>
      </c>
      <c r="H46" s="68">
        <f>TRUNC(G46*$H$16+G46,2)</f>
        <v>2.0499999999999998</v>
      </c>
      <c r="I46" s="68">
        <f t="shared" si="16"/>
        <v>1168.06</v>
      </c>
      <c r="J46" s="96">
        <v>0</v>
      </c>
      <c r="K46" s="97" t="e">
        <f>(J46*#REF!)</f>
        <v>#REF!</v>
      </c>
      <c r="L46" s="78"/>
      <c r="N46" s="85"/>
    </row>
    <row r="47" spans="1:14" s="1" customFormat="1" ht="12.75" customHeight="1" thickBot="1">
      <c r="B47" s="233" t="s">
        <v>6</v>
      </c>
      <c r="C47" s="234"/>
      <c r="D47" s="234"/>
      <c r="E47" s="234"/>
      <c r="F47" s="234"/>
      <c r="G47" s="229">
        <f>(100%)</f>
        <v>1</v>
      </c>
      <c r="H47" s="230"/>
      <c r="I47" s="115">
        <f>SUM(I45:I46)</f>
        <v>2485.23</v>
      </c>
      <c r="J47" s="94" t="e">
        <f>(K47/#REF!)</f>
        <v>#REF!</v>
      </c>
      <c r="K47" s="95" t="e">
        <f>SUM(K46:K46)</f>
        <v>#REF!</v>
      </c>
      <c r="L47" s="62"/>
      <c r="M47" s="70"/>
      <c r="N47" s="6"/>
    </row>
    <row r="48" spans="1:14" ht="23.4" customHeight="1" thickBot="1">
      <c r="B48" s="286" t="s">
        <v>51</v>
      </c>
      <c r="C48" s="287"/>
      <c r="D48" s="287"/>
      <c r="E48" s="287"/>
      <c r="F48" s="287"/>
      <c r="G48" s="287"/>
      <c r="H48" s="288"/>
      <c r="I48" s="149">
        <f>SUM(I24,I27,I33,I43,I47)</f>
        <v>562498.44999999995</v>
      </c>
      <c r="J48" s="99"/>
      <c r="K48" s="99" t="s">
        <v>30</v>
      </c>
      <c r="L48" s="63"/>
    </row>
    <row r="49" spans="2:12" ht="16.5" customHeight="1">
      <c r="B49" s="283" t="s">
        <v>148</v>
      </c>
      <c r="C49" s="284"/>
      <c r="D49" s="284"/>
      <c r="E49" s="284"/>
      <c r="F49" s="284"/>
      <c r="G49" s="284"/>
      <c r="H49" s="284"/>
      <c r="I49" s="285"/>
      <c r="J49" s="100"/>
      <c r="K49" s="100"/>
      <c r="L49" s="64"/>
    </row>
    <row r="50" spans="2:12" ht="5.25" customHeight="1">
      <c r="B50" s="12"/>
      <c r="C50" s="12"/>
      <c r="D50" s="13"/>
      <c r="E50" s="14"/>
      <c r="F50" s="14"/>
      <c r="G50" s="11"/>
      <c r="H50" s="12"/>
      <c r="I50" s="12"/>
      <c r="J50" s="12"/>
      <c r="K50" s="12"/>
      <c r="L50" s="12"/>
    </row>
    <row r="51" spans="2:12">
      <c r="B51" s="12"/>
      <c r="C51" s="12"/>
      <c r="D51" s="13"/>
      <c r="E51" s="14"/>
      <c r="F51" s="14"/>
      <c r="G51" s="11">
        <v>2</v>
      </c>
      <c r="H51" s="12"/>
      <c r="I51" s="12"/>
      <c r="J51" s="12"/>
      <c r="K51" s="12"/>
      <c r="L51" s="12"/>
    </row>
    <row r="52" spans="2:12">
      <c r="B52" s="12"/>
      <c r="C52" s="12"/>
      <c r="D52" s="13"/>
      <c r="E52" s="14"/>
      <c r="F52" s="14"/>
      <c r="G52" s="11"/>
      <c r="H52" s="12"/>
      <c r="I52" s="12"/>
      <c r="J52" s="12"/>
      <c r="K52" s="12"/>
      <c r="L52" s="12"/>
    </row>
    <row r="53" spans="2:12">
      <c r="B53" s="12"/>
      <c r="C53" s="12"/>
      <c r="D53" s="13"/>
      <c r="E53" s="14"/>
      <c r="F53" s="14"/>
      <c r="G53" s="11"/>
      <c r="H53" s="12"/>
      <c r="I53" s="12"/>
      <c r="J53" s="12"/>
      <c r="K53" s="12"/>
      <c r="L53" s="12"/>
    </row>
    <row r="54" spans="2:12">
      <c r="B54" s="12"/>
      <c r="C54" s="12"/>
      <c r="D54" s="13"/>
      <c r="E54" s="14"/>
      <c r="F54" s="14"/>
      <c r="G54" s="11"/>
      <c r="H54" s="12"/>
      <c r="I54" s="12"/>
      <c r="J54" s="12"/>
      <c r="K54" s="12"/>
      <c r="L54" s="12"/>
    </row>
    <row r="55" spans="2:12">
      <c r="B55" s="12"/>
      <c r="C55" s="12"/>
      <c r="D55" s="13"/>
      <c r="E55" s="14"/>
      <c r="F55" s="14"/>
      <c r="G55" s="11"/>
      <c r="H55" s="12"/>
      <c r="I55" s="12"/>
      <c r="J55" s="12"/>
      <c r="K55" s="12"/>
      <c r="L55" s="12"/>
    </row>
    <row r="56" spans="2:12">
      <c r="B56" s="12"/>
      <c r="C56" s="12"/>
      <c r="D56" s="13"/>
      <c r="E56" s="14"/>
      <c r="F56" s="14"/>
      <c r="G56" s="11"/>
      <c r="H56" s="12"/>
      <c r="I56" s="12"/>
      <c r="J56" s="12"/>
      <c r="K56" s="12"/>
      <c r="L56" s="12"/>
    </row>
    <row r="57" spans="2:12">
      <c r="B57" s="12"/>
      <c r="C57" s="12"/>
      <c r="D57" s="13"/>
      <c r="E57" s="14"/>
      <c r="F57" s="14"/>
      <c r="G57" s="11"/>
      <c r="H57" s="12"/>
      <c r="I57" s="12"/>
      <c r="J57" s="12"/>
      <c r="K57" s="12"/>
      <c r="L57" s="12"/>
    </row>
    <row r="58" spans="2:12">
      <c r="B58" s="12"/>
      <c r="C58" s="12"/>
      <c r="D58" s="13"/>
      <c r="E58" s="14"/>
      <c r="F58" s="14"/>
      <c r="G58" s="11"/>
      <c r="H58" s="12"/>
      <c r="I58" s="12"/>
      <c r="J58" s="12"/>
      <c r="K58" s="12"/>
      <c r="L58" s="12"/>
    </row>
    <row r="59" spans="2:12">
      <c r="B59" s="12"/>
      <c r="C59" s="12"/>
      <c r="D59" s="13"/>
      <c r="E59" s="14"/>
      <c r="F59" s="14"/>
      <c r="G59" s="11"/>
      <c r="H59" s="12"/>
      <c r="I59" s="12"/>
    </row>
  </sheetData>
  <mergeCells count="48">
    <mergeCell ref="B49:I49"/>
    <mergeCell ref="B48:H48"/>
    <mergeCell ref="B5:I5"/>
    <mergeCell ref="B47:F47"/>
    <mergeCell ref="G47:H47"/>
    <mergeCell ref="D34:I34"/>
    <mergeCell ref="B43:F43"/>
    <mergeCell ref="G43:H43"/>
    <mergeCell ref="D44:I44"/>
    <mergeCell ref="B24:F24"/>
    <mergeCell ref="B33:F33"/>
    <mergeCell ref="D25:I25"/>
    <mergeCell ref="B27:F27"/>
    <mergeCell ref="G27:H27"/>
    <mergeCell ref="B2:I2"/>
    <mergeCell ref="D28:I28"/>
    <mergeCell ref="B12:I12"/>
    <mergeCell ref="B13:B15"/>
    <mergeCell ref="G13:I14"/>
    <mergeCell ref="B6:I6"/>
    <mergeCell ref="B7:I7"/>
    <mergeCell ref="B3:I3"/>
    <mergeCell ref="B8:G8"/>
    <mergeCell ref="H8:I8"/>
    <mergeCell ref="J8:K8"/>
    <mergeCell ref="F13:F15"/>
    <mergeCell ref="D13:D15"/>
    <mergeCell ref="E13:E15"/>
    <mergeCell ref="N16:P16"/>
    <mergeCell ref="J9:K9"/>
    <mergeCell ref="B10:I10"/>
    <mergeCell ref="B9:I9"/>
    <mergeCell ref="J11:K11"/>
    <mergeCell ref="B11:G11"/>
    <mergeCell ref="H11:I11"/>
    <mergeCell ref="N17:P17"/>
    <mergeCell ref="B18:F18"/>
    <mergeCell ref="G18:H18"/>
    <mergeCell ref="J13:K13"/>
    <mergeCell ref="C13:C15"/>
    <mergeCell ref="J14:K14"/>
    <mergeCell ref="J16:K16"/>
    <mergeCell ref="N21:P21"/>
    <mergeCell ref="N20:P20"/>
    <mergeCell ref="G33:H33"/>
    <mergeCell ref="N19:P19"/>
    <mergeCell ref="J19:K19"/>
    <mergeCell ref="G24:H24"/>
  </mergeCells>
  <phoneticPr fontId="0" type="noConversion"/>
  <printOptions horizontalCentered="1"/>
  <pageMargins left="0.78740157480314965" right="0" top="0.78740157480314965" bottom="0.59055118110236227" header="0.27559055118110237" footer="0.31496062992125984"/>
  <pageSetup paperSize="9" scale="94" fitToWidth="5" fitToHeight="6" orientation="landscape" r:id="rId1"/>
  <headerFooter alignWithMargins="0">
    <oddFooter>&amp;LSanto Antonio do Leste&amp;C07  de Março de 2019&amp;RMato Grosso, Brasil</oddFooter>
  </headerFooter>
  <rowBreaks count="1" manualBreakCount="1">
    <brk id="31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"/>
  <sheetViews>
    <sheetView view="pageBreakPreview" topLeftCell="A10" zoomScaleSheetLayoutView="100" workbookViewId="0">
      <selection activeCell="E11" sqref="E11"/>
    </sheetView>
  </sheetViews>
  <sheetFormatPr defaultRowHeight="13.2"/>
  <cols>
    <col min="2" max="2" width="21.88671875" customWidth="1"/>
    <col min="3" max="3" width="54.109375" bestFit="1" customWidth="1"/>
    <col min="4" max="4" width="15" customWidth="1"/>
    <col min="5" max="5" width="38.44140625" customWidth="1"/>
    <col min="6" max="6" width="11.5546875" bestFit="1" customWidth="1"/>
    <col min="7" max="7" width="11.44140625" customWidth="1"/>
  </cols>
  <sheetData>
    <row r="1" spans="1:8" ht="18.75" customHeight="1" thickBot="1"/>
    <row r="2" spans="1:8" ht="3.75" customHeight="1" thickBot="1">
      <c r="B2" s="116"/>
      <c r="C2" s="116"/>
      <c r="D2" s="117"/>
      <c r="E2" s="116"/>
      <c r="F2" s="116"/>
      <c r="G2" s="116"/>
      <c r="H2" s="106"/>
    </row>
    <row r="3" spans="1:8" ht="22.5" customHeight="1">
      <c r="B3" s="297" t="s">
        <v>63</v>
      </c>
      <c r="C3" s="298"/>
      <c r="D3" s="298"/>
      <c r="E3" s="298"/>
      <c r="F3" s="298"/>
      <c r="G3" s="299"/>
      <c r="H3" s="106"/>
    </row>
    <row r="4" spans="1:8" ht="16.5" customHeight="1">
      <c r="B4" s="294" t="s">
        <v>116</v>
      </c>
      <c r="C4" s="295"/>
      <c r="D4" s="295"/>
      <c r="E4" s="295"/>
      <c r="F4" s="295"/>
      <c r="G4" s="296"/>
      <c r="H4" s="106"/>
    </row>
    <row r="5" spans="1:8" ht="16.5" customHeight="1">
      <c r="B5" s="294" t="s">
        <v>119</v>
      </c>
      <c r="C5" s="295"/>
      <c r="D5" s="295"/>
      <c r="E5" s="295"/>
      <c r="F5" s="295"/>
      <c r="G5" s="296"/>
      <c r="H5" s="106"/>
    </row>
    <row r="6" spans="1:8" ht="13.8" thickBot="1">
      <c r="B6" s="300" t="s">
        <v>145</v>
      </c>
      <c r="C6" s="301"/>
      <c r="D6" s="301"/>
      <c r="E6" s="301"/>
      <c r="F6" s="301"/>
      <c r="G6" s="302"/>
      <c r="H6" s="106"/>
    </row>
    <row r="7" spans="1:8" ht="6" customHeight="1" thickBot="1">
      <c r="B7" s="52"/>
      <c r="C7" s="52"/>
      <c r="D7" s="107"/>
      <c r="E7" s="52"/>
      <c r="F7" s="52"/>
      <c r="G7" s="52"/>
      <c r="H7" s="106"/>
    </row>
    <row r="8" spans="1:8" ht="19.5" customHeight="1">
      <c r="B8" s="156" t="s">
        <v>79</v>
      </c>
      <c r="C8" s="303" t="s">
        <v>90</v>
      </c>
      <c r="D8" s="303"/>
      <c r="E8" s="303"/>
      <c r="F8" s="303"/>
      <c r="G8" s="157" t="s">
        <v>64</v>
      </c>
    </row>
    <row r="9" spans="1:8" ht="26.4">
      <c r="B9" s="158" t="s">
        <v>91</v>
      </c>
      <c r="C9" s="108" t="s">
        <v>65</v>
      </c>
      <c r="D9" s="108" t="s">
        <v>47</v>
      </c>
      <c r="E9" s="108" t="s">
        <v>66</v>
      </c>
      <c r="F9" s="109" t="s">
        <v>92</v>
      </c>
      <c r="G9" s="110" t="s">
        <v>93</v>
      </c>
    </row>
    <row r="10" spans="1:8" ht="15.75" customHeight="1">
      <c r="B10" s="304" t="s">
        <v>67</v>
      </c>
      <c r="C10" s="305"/>
      <c r="D10" s="305"/>
      <c r="E10" s="305"/>
      <c r="F10" s="305"/>
      <c r="G10" s="306"/>
    </row>
    <row r="11" spans="1:8" ht="26.4">
      <c r="B11" s="159" t="s">
        <v>94</v>
      </c>
      <c r="C11" s="160" t="s">
        <v>95</v>
      </c>
      <c r="D11" s="196" t="s">
        <v>68</v>
      </c>
      <c r="E11" s="172">
        <v>180</v>
      </c>
      <c r="F11" s="197">
        <v>21.26</v>
      </c>
      <c r="G11" s="198">
        <f>TRUNC(E11*F11,2)</f>
        <v>3826.8</v>
      </c>
    </row>
    <row r="12" spans="1:8" ht="33.75" customHeight="1" thickBot="1">
      <c r="B12" s="159" t="s">
        <v>97</v>
      </c>
      <c r="C12" s="170" t="s">
        <v>98</v>
      </c>
      <c r="D12" s="171" t="s">
        <v>68</v>
      </c>
      <c r="E12" s="172">
        <v>24</v>
      </c>
      <c r="F12" s="173">
        <v>58.58</v>
      </c>
      <c r="G12" s="174">
        <f>TRUNC(E12*F12,2)</f>
        <v>1405.92</v>
      </c>
    </row>
    <row r="13" spans="1:8" ht="16.2" thickBot="1">
      <c r="A13" s="52"/>
      <c r="B13" s="291" t="s">
        <v>96</v>
      </c>
      <c r="C13" s="292"/>
      <c r="D13" s="292"/>
      <c r="E13" s="293"/>
      <c r="F13" s="168" t="s">
        <v>69</v>
      </c>
      <c r="G13" s="169">
        <f>SUM(G11:G12)</f>
        <v>5232.72</v>
      </c>
    </row>
    <row r="14" spans="1:8" ht="9" customHeight="1" thickBot="1">
      <c r="B14" s="52"/>
      <c r="C14" s="52"/>
      <c r="D14" s="52"/>
      <c r="E14" s="52"/>
      <c r="F14" s="52"/>
      <c r="G14" s="52"/>
    </row>
    <row r="15" spans="1:8" ht="36.75" customHeight="1">
      <c r="B15" s="156" t="s">
        <v>70</v>
      </c>
      <c r="C15" s="303" t="s">
        <v>130</v>
      </c>
      <c r="D15" s="303"/>
      <c r="E15" s="303"/>
      <c r="F15" s="303"/>
      <c r="G15" s="157" t="s">
        <v>64</v>
      </c>
    </row>
    <row r="16" spans="1:8" ht="35.4" customHeight="1">
      <c r="B16" s="158" t="s">
        <v>100</v>
      </c>
      <c r="C16" s="108" t="s">
        <v>65</v>
      </c>
      <c r="D16" s="108" t="s">
        <v>47</v>
      </c>
      <c r="E16" s="108" t="s">
        <v>66</v>
      </c>
      <c r="F16" s="109" t="s">
        <v>92</v>
      </c>
      <c r="G16" s="110" t="s">
        <v>93</v>
      </c>
    </row>
    <row r="17" spans="1:7" ht="15.75" customHeight="1">
      <c r="B17" s="304" t="s">
        <v>67</v>
      </c>
      <c r="C17" s="305"/>
      <c r="D17" s="305"/>
      <c r="E17" s="305"/>
      <c r="F17" s="305"/>
      <c r="G17" s="306"/>
    </row>
    <row r="18" spans="1:7">
      <c r="B18" s="192" t="s">
        <v>133</v>
      </c>
      <c r="C18" s="193" t="s">
        <v>132</v>
      </c>
      <c r="D18" s="194" t="s">
        <v>68</v>
      </c>
      <c r="E18" s="162">
        <v>0.05</v>
      </c>
      <c r="F18" s="163">
        <v>18.28</v>
      </c>
      <c r="G18" s="195">
        <f>TRUNC(E18*F18,2)</f>
        <v>0.91</v>
      </c>
    </row>
    <row r="19" spans="1:7">
      <c r="B19" s="192" t="s">
        <v>72</v>
      </c>
      <c r="C19" s="193" t="s">
        <v>73</v>
      </c>
      <c r="D19" s="194" t="s">
        <v>68</v>
      </c>
      <c r="E19" s="162">
        <v>0.5</v>
      </c>
      <c r="F19" s="163">
        <v>14.9</v>
      </c>
      <c r="G19" s="195">
        <f>TRUNC(E19*F19,2)</f>
        <v>7.45</v>
      </c>
    </row>
    <row r="20" spans="1:7" ht="16.2" thickBot="1">
      <c r="A20" s="52"/>
      <c r="B20" s="307" t="s">
        <v>131</v>
      </c>
      <c r="C20" s="308"/>
      <c r="D20" s="308"/>
      <c r="E20" s="309"/>
      <c r="F20" s="168" t="s">
        <v>69</v>
      </c>
      <c r="G20" s="169">
        <f>SUM(G18:G19)</f>
        <v>8.36</v>
      </c>
    </row>
    <row r="21" spans="1:7" ht="9" customHeight="1" thickBot="1">
      <c r="B21" s="52"/>
      <c r="C21" s="52"/>
      <c r="D21" s="52"/>
      <c r="E21" s="52"/>
      <c r="F21" s="52"/>
      <c r="G21" s="52"/>
    </row>
    <row r="22" spans="1:7" ht="36.75" customHeight="1">
      <c r="B22" s="156" t="s">
        <v>123</v>
      </c>
      <c r="C22" s="303" t="s">
        <v>99</v>
      </c>
      <c r="D22" s="303"/>
      <c r="E22" s="303"/>
      <c r="F22" s="303"/>
      <c r="G22" s="157" t="s">
        <v>64</v>
      </c>
    </row>
    <row r="23" spans="1:7" ht="26.4">
      <c r="B23" s="158" t="s">
        <v>100</v>
      </c>
      <c r="C23" s="108" t="s">
        <v>65</v>
      </c>
      <c r="D23" s="108" t="s">
        <v>47</v>
      </c>
      <c r="E23" s="108" t="s">
        <v>66</v>
      </c>
      <c r="F23" s="109" t="s">
        <v>92</v>
      </c>
      <c r="G23" s="110" t="s">
        <v>93</v>
      </c>
    </row>
    <row r="24" spans="1:7" ht="14.25" customHeight="1">
      <c r="B24" s="304" t="s">
        <v>71</v>
      </c>
      <c r="C24" s="305"/>
      <c r="D24" s="305"/>
      <c r="E24" s="305"/>
      <c r="F24" s="305"/>
      <c r="G24" s="306"/>
    </row>
    <row r="25" spans="1:7" ht="26.4">
      <c r="B25" s="175" t="s">
        <v>101</v>
      </c>
      <c r="C25" s="160" t="s">
        <v>102</v>
      </c>
      <c r="D25" s="196" t="s">
        <v>47</v>
      </c>
      <c r="E25" s="172">
        <v>6.25</v>
      </c>
      <c r="F25" s="197">
        <v>9.14</v>
      </c>
      <c r="G25" s="198">
        <f>TRUNC(E25*F25,2)</f>
        <v>57.12</v>
      </c>
    </row>
    <row r="26" spans="1:7">
      <c r="B26" s="175" t="s">
        <v>103</v>
      </c>
      <c r="C26" s="160" t="s">
        <v>104</v>
      </c>
      <c r="D26" s="196" t="s">
        <v>105</v>
      </c>
      <c r="E26" s="172">
        <v>0.01</v>
      </c>
      <c r="F26" s="197">
        <v>62.75</v>
      </c>
      <c r="G26" s="198">
        <f>TRUNC(E26*F26,2)</f>
        <v>0.62</v>
      </c>
    </row>
    <row r="27" spans="1:7">
      <c r="B27" s="175" t="s">
        <v>106</v>
      </c>
      <c r="C27" s="160" t="s">
        <v>107</v>
      </c>
      <c r="D27" s="161" t="s">
        <v>46</v>
      </c>
      <c r="E27" s="162">
        <v>7.5</v>
      </c>
      <c r="F27" s="163">
        <v>0.52</v>
      </c>
      <c r="G27" s="164">
        <f>TRUNC(E27*F27,2)</f>
        <v>3.9</v>
      </c>
    </row>
    <row r="28" spans="1:7" ht="15.75" customHeight="1">
      <c r="B28" s="304" t="s">
        <v>67</v>
      </c>
      <c r="C28" s="305"/>
      <c r="D28" s="305"/>
      <c r="E28" s="305"/>
      <c r="F28" s="305"/>
      <c r="G28" s="306"/>
    </row>
    <row r="29" spans="1:7">
      <c r="B29" s="175" t="s">
        <v>108</v>
      </c>
      <c r="C29" s="160" t="s">
        <v>109</v>
      </c>
      <c r="D29" s="161" t="s">
        <v>68</v>
      </c>
      <c r="E29" s="162">
        <v>0.5</v>
      </c>
      <c r="F29" s="163">
        <v>18.02</v>
      </c>
      <c r="G29" s="164">
        <f>TRUNC(E29*F29,2)</f>
        <v>9.01</v>
      </c>
    </row>
    <row r="30" spans="1:7" ht="13.8" thickBot="1">
      <c r="B30" s="175" t="s">
        <v>72</v>
      </c>
      <c r="C30" s="176" t="s">
        <v>73</v>
      </c>
      <c r="D30" s="165" t="s">
        <v>68</v>
      </c>
      <c r="E30" s="177">
        <v>0.6</v>
      </c>
      <c r="F30" s="166">
        <v>14.9</v>
      </c>
      <c r="G30" s="167">
        <f>TRUNC(E30*F30,2)</f>
        <v>8.94</v>
      </c>
    </row>
    <row r="31" spans="1:7" ht="16.2" thickBot="1">
      <c r="A31" s="52"/>
      <c r="B31" s="291" t="s">
        <v>111</v>
      </c>
      <c r="C31" s="292"/>
      <c r="D31" s="292"/>
      <c r="E31" s="293"/>
      <c r="F31" s="168" t="s">
        <v>69</v>
      </c>
      <c r="G31" s="169">
        <f>SUM(G25,G26,G27,G29,G30)</f>
        <v>79.589999999999989</v>
      </c>
    </row>
    <row r="32" spans="1:7">
      <c r="B32" s="178" t="s">
        <v>110</v>
      </c>
      <c r="C32" s="179"/>
      <c r="D32" s="179"/>
      <c r="E32" s="179"/>
      <c r="F32" s="180"/>
      <c r="G32" s="180"/>
    </row>
    <row r="33" spans="2:7" ht="9" customHeight="1">
      <c r="B33" s="52"/>
      <c r="C33" s="52"/>
      <c r="D33" s="52"/>
      <c r="E33" s="52"/>
      <c r="F33" s="52"/>
      <c r="G33" s="52"/>
    </row>
  </sheetData>
  <mergeCells count="14">
    <mergeCell ref="B24:G24"/>
    <mergeCell ref="B28:G28"/>
    <mergeCell ref="B31:E31"/>
    <mergeCell ref="C15:F15"/>
    <mergeCell ref="B17:G17"/>
    <mergeCell ref="B20:E20"/>
    <mergeCell ref="C22:F22"/>
    <mergeCell ref="B13:E13"/>
    <mergeCell ref="B5:G5"/>
    <mergeCell ref="B3:G3"/>
    <mergeCell ref="B4:G4"/>
    <mergeCell ref="B6:G6"/>
    <mergeCell ref="C8:F8"/>
    <mergeCell ref="B10:G10"/>
  </mergeCells>
  <printOptions horizontalCentered="1"/>
  <pageMargins left="0.70866141732283472" right="0.31496062992125984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9"/>
  <sheetViews>
    <sheetView showGridLines="0" view="pageBreakPreview" topLeftCell="A25" zoomScaleSheetLayoutView="100" workbookViewId="0">
      <selection activeCell="L27" sqref="L27"/>
    </sheetView>
  </sheetViews>
  <sheetFormatPr defaultColWidth="11.44140625" defaultRowHeight="13.2"/>
  <cols>
    <col min="1" max="1" width="0.6640625" style="10" customWidth="1"/>
    <col min="2" max="2" width="14.33203125" style="10" customWidth="1"/>
    <col min="3" max="3" width="48.5546875" style="10" customWidth="1"/>
    <col min="4" max="4" width="8" style="10" customWidth="1"/>
    <col min="5" max="5" width="14" style="10" customWidth="1"/>
    <col min="6" max="6" width="11" style="10" customWidth="1"/>
    <col min="7" max="7" width="10.33203125" style="10" customWidth="1"/>
    <col min="8" max="8" width="10" style="10" customWidth="1"/>
    <col min="9" max="9" width="9.88671875" style="10" customWidth="1"/>
    <col min="10" max="10" width="0.6640625" style="10" customWidth="1"/>
    <col min="11" max="16384" width="11.44140625" style="10"/>
  </cols>
  <sheetData>
    <row r="1" spans="1:10" ht="3.75" customHeight="1" thickBot="1">
      <c r="A1" s="118"/>
      <c r="B1" s="124"/>
      <c r="C1" s="124"/>
      <c r="D1" s="124"/>
      <c r="E1" s="124"/>
      <c r="F1" s="124"/>
      <c r="G1" s="124"/>
      <c r="H1" s="124"/>
      <c r="I1" s="124"/>
      <c r="J1" s="119"/>
    </row>
    <row r="2" spans="1:10">
      <c r="A2" s="120"/>
      <c r="B2" s="313" t="s">
        <v>7</v>
      </c>
      <c r="C2" s="314"/>
      <c r="D2" s="314"/>
      <c r="E2" s="314"/>
      <c r="F2" s="314"/>
      <c r="G2" s="314"/>
      <c r="H2" s="314"/>
      <c r="I2" s="315"/>
      <c r="J2" s="121"/>
    </row>
    <row r="3" spans="1:10">
      <c r="A3" s="120"/>
      <c r="B3" s="316"/>
      <c r="C3" s="317"/>
      <c r="D3" s="317"/>
      <c r="E3" s="317"/>
      <c r="F3" s="317"/>
      <c r="G3" s="317"/>
      <c r="H3" s="317"/>
      <c r="I3" s="318"/>
      <c r="J3" s="121"/>
    </row>
    <row r="4" spans="1:10" ht="15" customHeight="1">
      <c r="A4" s="120"/>
      <c r="B4" s="142"/>
      <c r="C4" s="325" t="s">
        <v>128</v>
      </c>
      <c r="D4" s="325"/>
      <c r="E4" s="325"/>
      <c r="F4" s="325"/>
      <c r="G4" s="325"/>
      <c r="H4" s="325"/>
      <c r="I4" s="326"/>
      <c r="J4" s="121"/>
    </row>
    <row r="5" spans="1:10" ht="23.25" customHeight="1">
      <c r="A5" s="120"/>
      <c r="B5" s="142"/>
      <c r="C5" s="325"/>
      <c r="D5" s="325"/>
      <c r="E5" s="325"/>
      <c r="F5" s="325"/>
      <c r="G5" s="325"/>
      <c r="H5" s="325"/>
      <c r="I5" s="326"/>
      <c r="J5" s="121"/>
    </row>
    <row r="6" spans="1:10" ht="23.25" customHeight="1">
      <c r="A6" s="120"/>
      <c r="B6" s="143"/>
      <c r="C6" s="327" t="s">
        <v>120</v>
      </c>
      <c r="D6" s="327"/>
      <c r="E6" s="327"/>
      <c r="F6" s="327"/>
      <c r="G6" s="327"/>
      <c r="H6" s="327"/>
      <c r="I6" s="328"/>
      <c r="J6" s="121"/>
    </row>
    <row r="7" spans="1:10" ht="19.5" customHeight="1">
      <c r="A7" s="120"/>
      <c r="B7" s="143"/>
      <c r="C7" s="329" t="s">
        <v>129</v>
      </c>
      <c r="D7" s="329"/>
      <c r="E7" s="329"/>
      <c r="F7" s="329"/>
      <c r="G7" s="329"/>
      <c r="H7" s="329"/>
      <c r="I7" s="330"/>
      <c r="J7" s="121"/>
    </row>
    <row r="8" spans="1:10" ht="23.25" customHeight="1">
      <c r="A8" s="120"/>
      <c r="B8" s="143"/>
      <c r="C8" s="327" t="s">
        <v>113</v>
      </c>
      <c r="D8" s="327"/>
      <c r="E8" s="327"/>
      <c r="F8" s="327"/>
      <c r="G8" s="327"/>
      <c r="H8" s="327"/>
      <c r="I8" s="328"/>
      <c r="J8" s="121"/>
    </row>
    <row r="9" spans="1:10" ht="17.100000000000001" customHeight="1" thickBot="1">
      <c r="A9" s="120"/>
      <c r="B9" s="321" t="str">
        <f>'planilha de orçamento'!H11</f>
        <v>DATA:07/03/2019</v>
      </c>
      <c r="C9" s="322"/>
      <c r="D9" s="25"/>
      <c r="E9" s="25"/>
      <c r="F9" s="26"/>
      <c r="G9" s="27"/>
      <c r="H9" s="323" t="s">
        <v>49</v>
      </c>
      <c r="I9" s="324"/>
      <c r="J9" s="121"/>
    </row>
    <row r="10" spans="1:10" ht="17.100000000000001" customHeight="1">
      <c r="A10" s="120"/>
      <c r="B10" s="28"/>
      <c r="C10" s="29"/>
      <c r="D10" s="29"/>
      <c r="E10" s="29"/>
      <c r="F10" s="29"/>
      <c r="G10" s="29"/>
      <c r="H10" s="29"/>
      <c r="I10" s="29"/>
      <c r="J10" s="121"/>
    </row>
    <row r="11" spans="1:10">
      <c r="A11" s="120"/>
      <c r="B11" s="319" t="s">
        <v>0</v>
      </c>
      <c r="C11" s="319" t="s">
        <v>8</v>
      </c>
      <c r="D11" s="319" t="s">
        <v>9</v>
      </c>
      <c r="E11" s="30" t="s">
        <v>10</v>
      </c>
      <c r="F11" s="319" t="s">
        <v>23</v>
      </c>
      <c r="G11" s="319" t="s">
        <v>24</v>
      </c>
      <c r="H11" s="319" t="s">
        <v>25</v>
      </c>
      <c r="I11" s="319" t="s">
        <v>26</v>
      </c>
      <c r="J11" s="121"/>
    </row>
    <row r="12" spans="1:10">
      <c r="A12" s="120"/>
      <c r="B12" s="320"/>
      <c r="C12" s="320"/>
      <c r="D12" s="320"/>
      <c r="E12" s="30" t="s">
        <v>11</v>
      </c>
      <c r="F12" s="320"/>
      <c r="G12" s="320"/>
      <c r="H12" s="320"/>
      <c r="I12" s="320"/>
      <c r="J12" s="121"/>
    </row>
    <row r="13" spans="1:10" hidden="1">
      <c r="A13" s="120"/>
      <c r="B13" s="218">
        <v>1</v>
      </c>
      <c r="C13" s="220" t="s">
        <v>54</v>
      </c>
      <c r="D13" s="204">
        <f>E13/$E$32+0.00001</f>
        <v>1.0000000000000001E-5</v>
      </c>
      <c r="E13" s="224">
        <f>'planilha de orçamento'!I18</f>
        <v>0</v>
      </c>
      <c r="F13" s="31"/>
      <c r="G13" s="31"/>
      <c r="H13" s="31"/>
      <c r="I13" s="31"/>
      <c r="J13" s="121"/>
    </row>
    <row r="14" spans="1:10" hidden="1">
      <c r="A14" s="120"/>
      <c r="B14" s="310"/>
      <c r="C14" s="311"/>
      <c r="D14" s="204"/>
      <c r="E14" s="312"/>
      <c r="F14" s="33">
        <v>0.25</v>
      </c>
      <c r="G14" s="33">
        <v>0.25</v>
      </c>
      <c r="H14" s="33">
        <v>0.25</v>
      </c>
      <c r="I14" s="34">
        <v>0.25</v>
      </c>
      <c r="J14" s="121"/>
    </row>
    <row r="15" spans="1:10" hidden="1">
      <c r="A15" s="120"/>
      <c r="B15" s="219"/>
      <c r="C15" s="221"/>
      <c r="D15" s="204"/>
      <c r="E15" s="225"/>
      <c r="F15" s="35">
        <f>(F14*E13)</f>
        <v>0</v>
      </c>
      <c r="G15" s="35">
        <f>(G14*E13)</f>
        <v>0</v>
      </c>
      <c r="H15" s="35">
        <f>(H14*E13)</f>
        <v>0</v>
      </c>
      <c r="I15" s="36">
        <f>(I14*E13)</f>
        <v>0</v>
      </c>
      <c r="J15" s="121"/>
    </row>
    <row r="16" spans="1:10">
      <c r="A16" s="120"/>
      <c r="B16" s="218">
        <v>1</v>
      </c>
      <c r="C16" s="220" t="s">
        <v>12</v>
      </c>
      <c r="D16" s="204">
        <f>E16/$E$32+0.00001</f>
        <v>3.4769064669422652E-2</v>
      </c>
      <c r="E16" s="224">
        <f>'planilha de orçamento'!I24</f>
        <v>19551.920000000002</v>
      </c>
      <c r="F16" s="31"/>
      <c r="G16" s="72"/>
      <c r="H16" s="32"/>
      <c r="I16" s="32"/>
      <c r="J16" s="121"/>
    </row>
    <row r="17" spans="1:10">
      <c r="A17" s="120"/>
      <c r="B17" s="310"/>
      <c r="C17" s="311"/>
      <c r="D17" s="204"/>
      <c r="E17" s="312"/>
      <c r="F17" s="33">
        <v>1</v>
      </c>
      <c r="G17" s="33"/>
      <c r="H17" s="34"/>
      <c r="I17" s="34"/>
      <c r="J17" s="121"/>
    </row>
    <row r="18" spans="1:10">
      <c r="A18" s="120"/>
      <c r="B18" s="219"/>
      <c r="C18" s="221"/>
      <c r="D18" s="204"/>
      <c r="E18" s="225"/>
      <c r="F18" s="35">
        <f>(F17*E16)</f>
        <v>19551.920000000002</v>
      </c>
      <c r="G18" s="36"/>
      <c r="H18" s="37"/>
      <c r="I18" s="36"/>
      <c r="J18" s="121"/>
    </row>
    <row r="19" spans="1:10">
      <c r="A19" s="120"/>
      <c r="B19" s="218">
        <v>2</v>
      </c>
      <c r="C19" s="220" t="s">
        <v>143</v>
      </c>
      <c r="D19" s="204">
        <f>E19/$E$32</f>
        <v>1.2128744532540489E-2</v>
      </c>
      <c r="E19" s="224">
        <f>'planilha de orçamento'!I26</f>
        <v>6822.4</v>
      </c>
      <c r="F19" s="38"/>
      <c r="G19" s="39"/>
      <c r="H19" s="40"/>
      <c r="I19" s="41"/>
      <c r="J19" s="121"/>
    </row>
    <row r="20" spans="1:10">
      <c r="A20" s="120"/>
      <c r="B20" s="310"/>
      <c r="C20" s="311"/>
      <c r="D20" s="204"/>
      <c r="E20" s="312"/>
      <c r="F20" s="33">
        <v>1</v>
      </c>
      <c r="G20" s="33"/>
      <c r="H20" s="34"/>
      <c r="I20" s="34"/>
      <c r="J20" s="121"/>
    </row>
    <row r="21" spans="1:10">
      <c r="A21" s="120"/>
      <c r="B21" s="219"/>
      <c r="C21" s="221"/>
      <c r="D21" s="204"/>
      <c r="E21" s="225"/>
      <c r="F21" s="35">
        <f>F20*E19</f>
        <v>6822.4</v>
      </c>
      <c r="G21" s="35"/>
      <c r="H21" s="37"/>
      <c r="I21" s="36"/>
      <c r="J21" s="121"/>
    </row>
    <row r="22" spans="1:10">
      <c r="A22" s="120"/>
      <c r="B22" s="218">
        <v>3</v>
      </c>
      <c r="C22" s="220" t="s">
        <v>13</v>
      </c>
      <c r="D22" s="204">
        <f>E22/$E$32</f>
        <v>8.1078641194477968E-2</v>
      </c>
      <c r="E22" s="224">
        <f>'planilha de orçamento'!I33</f>
        <v>45606.61</v>
      </c>
      <c r="F22" s="38"/>
      <c r="G22" s="39"/>
      <c r="H22" s="40"/>
      <c r="I22" s="41"/>
      <c r="J22" s="121"/>
    </row>
    <row r="23" spans="1:10">
      <c r="A23" s="120"/>
      <c r="B23" s="310"/>
      <c r="C23" s="311"/>
      <c r="D23" s="204"/>
      <c r="E23" s="312"/>
      <c r="F23" s="33">
        <v>1</v>
      </c>
      <c r="G23" s="33"/>
      <c r="H23" s="34"/>
      <c r="I23" s="34"/>
      <c r="J23" s="121"/>
    </row>
    <row r="24" spans="1:10">
      <c r="A24" s="120"/>
      <c r="B24" s="219"/>
      <c r="C24" s="221"/>
      <c r="D24" s="204"/>
      <c r="E24" s="225"/>
      <c r="F24" s="35">
        <f>F23*E22</f>
        <v>45606.61</v>
      </c>
      <c r="G24" s="35"/>
      <c r="H24" s="37"/>
      <c r="I24" s="36"/>
      <c r="J24" s="121"/>
    </row>
    <row r="25" spans="1:10">
      <c r="A25" s="120"/>
      <c r="B25" s="218">
        <v>4</v>
      </c>
      <c r="C25" s="220" t="s">
        <v>112</v>
      </c>
      <c r="D25" s="204">
        <f>E25/$E$32</f>
        <v>0.86761535076230001</v>
      </c>
      <c r="E25" s="224">
        <f>'planilha de orçamento'!I43</f>
        <v>488032.29000000004</v>
      </c>
      <c r="F25" s="42"/>
      <c r="G25" s="42"/>
      <c r="H25" s="42"/>
      <c r="I25" s="42"/>
      <c r="J25" s="121"/>
    </row>
    <row r="26" spans="1:10">
      <c r="A26" s="120"/>
      <c r="B26" s="310"/>
      <c r="C26" s="311"/>
      <c r="D26" s="204"/>
      <c r="E26" s="312"/>
      <c r="F26" s="43">
        <v>0.2</v>
      </c>
      <c r="G26" s="43">
        <v>0.3</v>
      </c>
      <c r="H26" s="43">
        <v>0.3</v>
      </c>
      <c r="I26" s="43">
        <v>0.2</v>
      </c>
      <c r="J26" s="121"/>
    </row>
    <row r="27" spans="1:10">
      <c r="A27" s="120"/>
      <c r="B27" s="219"/>
      <c r="C27" s="311"/>
      <c r="D27" s="204"/>
      <c r="E27" s="225"/>
      <c r="F27" s="36">
        <f>F26*E25</f>
        <v>97606.458000000013</v>
      </c>
      <c r="G27" s="36">
        <f>G26*E25</f>
        <v>146409.68700000001</v>
      </c>
      <c r="H27" s="36">
        <f>H26*E25</f>
        <v>146409.68700000001</v>
      </c>
      <c r="I27" s="36">
        <f>I26*E25</f>
        <v>97606.458000000013</v>
      </c>
      <c r="J27" s="121"/>
    </row>
    <row r="28" spans="1:10">
      <c r="A28" s="120"/>
      <c r="B28" s="218">
        <v>5</v>
      </c>
      <c r="C28" s="335" t="s">
        <v>14</v>
      </c>
      <c r="D28" s="204">
        <f>E28/$E$32</f>
        <v>4.4181988412590294E-3</v>
      </c>
      <c r="E28" s="224">
        <f>'planilha de orçamento'!I47</f>
        <v>2485.23</v>
      </c>
      <c r="F28" s="44"/>
      <c r="G28" s="338"/>
      <c r="H28" s="42"/>
      <c r="I28" s="42"/>
      <c r="J28" s="121"/>
    </row>
    <row r="29" spans="1:10">
      <c r="A29" s="120"/>
      <c r="B29" s="310"/>
      <c r="C29" s="336"/>
      <c r="D29" s="204"/>
      <c r="E29" s="312"/>
      <c r="F29" s="33"/>
      <c r="G29" s="339"/>
      <c r="H29" s="43">
        <v>0.2</v>
      </c>
      <c r="I29" s="34">
        <v>0.8</v>
      </c>
      <c r="J29" s="121"/>
    </row>
    <row r="30" spans="1:10">
      <c r="A30" s="120"/>
      <c r="B30" s="219"/>
      <c r="C30" s="337"/>
      <c r="D30" s="204"/>
      <c r="E30" s="225"/>
      <c r="F30" s="35"/>
      <c r="G30" s="340"/>
      <c r="H30" s="36">
        <f>H29*E28</f>
        <v>497.04600000000005</v>
      </c>
      <c r="I30" s="37">
        <f>I29*E28</f>
        <v>1988.1840000000002</v>
      </c>
      <c r="J30" s="121"/>
    </row>
    <row r="31" spans="1:10">
      <c r="A31" s="120"/>
      <c r="B31" s="332" t="s">
        <v>15</v>
      </c>
      <c r="C31" s="333"/>
      <c r="D31" s="45">
        <v>0</v>
      </c>
      <c r="E31" s="45">
        <v>0</v>
      </c>
      <c r="F31" s="36">
        <f>SUM(F18,F24,F27,F21)</f>
        <v>169587.38800000001</v>
      </c>
      <c r="G31" s="36">
        <f>SUM(G27)</f>
        <v>146409.68700000001</v>
      </c>
      <c r="H31" s="36">
        <f>SUM(H27,H30)</f>
        <v>146906.73300000001</v>
      </c>
      <c r="I31" s="184">
        <f>SUM(I27,I30)</f>
        <v>99594.642000000007</v>
      </c>
      <c r="J31" s="121"/>
    </row>
    <row r="32" spans="1:10">
      <c r="A32" s="120"/>
      <c r="B32" s="332" t="s">
        <v>16</v>
      </c>
      <c r="C32" s="333"/>
      <c r="D32" s="46">
        <f>SUM(D13:D31)</f>
        <v>1.0000200000000001</v>
      </c>
      <c r="E32" s="47">
        <f>SUM(E13:E30)</f>
        <v>562498.44999999995</v>
      </c>
      <c r="F32" s="48">
        <f>+F31</f>
        <v>169587.38800000001</v>
      </c>
      <c r="G32" s="48">
        <f>+F32+G31</f>
        <v>315997.07500000001</v>
      </c>
      <c r="H32" s="48">
        <f>+G32+H31</f>
        <v>462903.80800000002</v>
      </c>
      <c r="I32" s="48">
        <f>+H32+I31</f>
        <v>562498.45000000007</v>
      </c>
      <c r="J32" s="121"/>
    </row>
    <row r="33" spans="1:10">
      <c r="A33" s="120"/>
      <c r="B33" s="125"/>
      <c r="C33" s="125"/>
      <c r="D33" s="125"/>
      <c r="E33" s="125"/>
      <c r="F33" s="125"/>
      <c r="G33" s="125"/>
      <c r="H33" s="125"/>
      <c r="I33" s="125"/>
      <c r="J33" s="121"/>
    </row>
    <row r="34" spans="1:10">
      <c r="A34" s="120"/>
      <c r="B34" s="125" t="s">
        <v>17</v>
      </c>
      <c r="C34" s="126"/>
      <c r="D34" s="126"/>
      <c r="E34" s="126"/>
      <c r="F34" s="125"/>
      <c r="G34" s="125"/>
      <c r="H34" s="125"/>
      <c r="I34" s="125"/>
      <c r="J34" s="121"/>
    </row>
    <row r="35" spans="1:10">
      <c r="A35" s="120"/>
      <c r="B35" s="125"/>
      <c r="C35" s="125" t="s">
        <v>18</v>
      </c>
      <c r="D35" s="125"/>
      <c r="E35" s="125"/>
      <c r="F35" s="127"/>
      <c r="G35" s="127"/>
      <c r="H35" s="125"/>
      <c r="I35" s="125"/>
      <c r="J35" s="121"/>
    </row>
    <row r="36" spans="1:10">
      <c r="A36" s="120"/>
      <c r="B36" s="24"/>
      <c r="C36" s="24"/>
      <c r="D36" s="24"/>
      <c r="E36" s="24"/>
      <c r="F36" s="24"/>
      <c r="G36" s="24"/>
      <c r="H36" s="24"/>
      <c r="I36" s="24"/>
      <c r="J36" s="121"/>
    </row>
    <row r="37" spans="1:10" ht="13.8" thickBot="1">
      <c r="A37" s="122"/>
      <c r="B37" s="26"/>
      <c r="C37" s="26"/>
      <c r="D37" s="26"/>
      <c r="E37" s="334"/>
      <c r="F37" s="334"/>
      <c r="G37" s="334"/>
      <c r="H37" s="26"/>
      <c r="I37" s="26"/>
      <c r="J37" s="123"/>
    </row>
    <row r="38" spans="1:10">
      <c r="D38" s="24"/>
      <c r="E38" s="329"/>
      <c r="F38" s="329"/>
      <c r="G38" s="329"/>
      <c r="H38" s="24"/>
    </row>
    <row r="39" spans="1:10">
      <c r="E39" s="331"/>
      <c r="F39" s="331"/>
      <c r="G39" s="331"/>
    </row>
  </sheetData>
  <mergeCells count="44">
    <mergeCell ref="B19:B21"/>
    <mergeCell ref="C19:C21"/>
    <mergeCell ref="D19:D21"/>
    <mergeCell ref="E19:E21"/>
    <mergeCell ref="B22:B24"/>
    <mergeCell ref="G28:G30"/>
    <mergeCell ref="C22:C24"/>
    <mergeCell ref="D22:D24"/>
    <mergeCell ref="E22:E24"/>
    <mergeCell ref="C16:C18"/>
    <mergeCell ref="B28:B30"/>
    <mergeCell ref="C28:C30"/>
    <mergeCell ref="D28:D30"/>
    <mergeCell ref="E28:E30"/>
    <mergeCell ref="E25:E27"/>
    <mergeCell ref="B25:B27"/>
    <mergeCell ref="C25:C27"/>
    <mergeCell ref="D25:D27"/>
    <mergeCell ref="E39:G39"/>
    <mergeCell ref="B31:C31"/>
    <mergeCell ref="B32:C32"/>
    <mergeCell ref="E37:G37"/>
    <mergeCell ref="E38:G38"/>
    <mergeCell ref="B2:I3"/>
    <mergeCell ref="B11:B12"/>
    <mergeCell ref="C11:C12"/>
    <mergeCell ref="D11:D12"/>
    <mergeCell ref="F11:F12"/>
    <mergeCell ref="G11:G12"/>
    <mergeCell ref="B9:C9"/>
    <mergeCell ref="H9:I9"/>
    <mergeCell ref="H11:H12"/>
    <mergeCell ref="I11:I12"/>
    <mergeCell ref="C4:I5"/>
    <mergeCell ref="C6:I6"/>
    <mergeCell ref="C8:I8"/>
    <mergeCell ref="C7:I7"/>
    <mergeCell ref="B13:B15"/>
    <mergeCell ref="C13:C15"/>
    <mergeCell ref="D13:D15"/>
    <mergeCell ref="E13:E15"/>
    <mergeCell ref="B16:B18"/>
    <mergeCell ref="D16:D18"/>
    <mergeCell ref="E16:E18"/>
  </mergeCells>
  <printOptions horizontalCentered="1"/>
  <pageMargins left="0.39370078740157483" right="0.11811023622047245" top="1.1417322834645669" bottom="0.43307086614173229" header="0" footer="0.31496062992125984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RESUMO</vt:lpstr>
      <vt:lpstr>planilha de orçamento</vt:lpstr>
      <vt:lpstr>COMPOSIÇÃO</vt:lpstr>
      <vt:lpstr>CRON</vt:lpstr>
      <vt:lpstr>COMPOSIÇÃO!Area_de_impressao</vt:lpstr>
      <vt:lpstr>CRON!Area_de_impressao</vt:lpstr>
      <vt:lpstr>'planilha de orçamento'!Area_de_impressao</vt:lpstr>
      <vt:lpstr>RESUMO!Area_de_impressao</vt:lpstr>
      <vt:lpstr>COMPOSIÇÃO!Titulos_de_impressao</vt:lpstr>
      <vt:lpstr>CRON!Titulos_de_impressao</vt:lpstr>
      <vt:lpstr>'planilha de orçamento'!Titulos_de_impressao</vt:lpstr>
      <vt:lpstr>RESUMO!Titulos_de_impressao</vt:lpstr>
    </vt:vector>
  </TitlesOfParts>
  <Company>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Avell</cp:lastModifiedBy>
  <cp:lastPrinted>2019-03-11T13:07:36Z</cp:lastPrinted>
  <dcterms:created xsi:type="dcterms:W3CDTF">1998-04-12T12:31:25Z</dcterms:created>
  <dcterms:modified xsi:type="dcterms:W3CDTF">2019-06-25T11:47:21Z</dcterms:modified>
</cp:coreProperties>
</file>