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368" yWindow="288" windowWidth="13332" windowHeight="7716" tabRatio="601" activeTab="3"/>
  </bookViews>
  <sheets>
    <sheet name="ORCAMENTO" sheetId="19" r:id="rId1"/>
    <sheet name="RESUMO" sheetId="22" r:id="rId2"/>
    <sheet name="CRONOGRAMA" sheetId="21" r:id="rId3"/>
    <sheet name="COMPOSIÇÃO" sheetId="23" r:id="rId4"/>
  </sheets>
  <definedNames>
    <definedName name="_xlnm.Print_Area" localSheetId="3">COMPOSIÇÃO!$B$2:$I$28</definedName>
    <definedName name="_xlnm.Print_Area" localSheetId="2">CRONOGRAMA!$A$1:$J$59</definedName>
    <definedName name="_xlnm.Print_Area" localSheetId="0">ORCAMENTO!$B$2:$I$87</definedName>
    <definedName name="_xlnm.Print_Area" localSheetId="1">RESUMO!$A$2:$E$50</definedName>
    <definedName name="_xlnm.Print_Titles" localSheetId="3">COMPOSIÇÃO!$3:$5</definedName>
    <definedName name="_xlnm.Print_Titles" localSheetId="2">CRONOGRAMA!$1:$7</definedName>
    <definedName name="_xlnm.Print_Titles" localSheetId="0">ORCAMENTO!$B:$I,ORCAMENTO!$2:$12</definedName>
    <definedName name="_xlnm.Print_Titles" localSheetId="1">RESUMO!$2:$7</definedName>
  </definedNames>
  <calcPr calcId="124519"/>
</workbook>
</file>

<file path=xl/calcChain.xml><?xml version="1.0" encoding="utf-8"?>
<calcChain xmlns="http://schemas.openxmlformats.org/spreadsheetml/2006/main">
  <c r="H72" i="19"/>
  <c r="I72" s="1"/>
  <c r="K72"/>
  <c r="K77" l="1"/>
  <c r="J77"/>
  <c r="G77"/>
  <c r="K76"/>
  <c r="H76"/>
  <c r="I76" s="1"/>
  <c r="I77" s="1"/>
  <c r="E40" i="22" s="1"/>
  <c r="E44" i="21" s="1"/>
  <c r="K82" i="19"/>
  <c r="J82" s="1"/>
  <c r="G82"/>
  <c r="G27" i="23"/>
  <c r="E20"/>
  <c r="G19"/>
  <c r="G20" s="1"/>
  <c r="M55" i="19"/>
  <c r="H55"/>
  <c r="I55" s="1"/>
  <c r="M54"/>
  <c r="G16" i="23"/>
  <c r="E9"/>
  <c r="G8"/>
  <c r="G9" s="1"/>
  <c r="C5" i="21" l="1"/>
  <c r="C4"/>
  <c r="H61" i="19"/>
  <c r="I61" s="1"/>
  <c r="H60"/>
  <c r="I60" s="1"/>
  <c r="K69" l="1"/>
  <c r="H69"/>
  <c r="I69" s="1"/>
  <c r="K44"/>
  <c r="H44"/>
  <c r="I44" s="1"/>
  <c r="K43"/>
  <c r="H43"/>
  <c r="I43" s="1"/>
  <c r="F25"/>
  <c r="K23"/>
  <c r="H23"/>
  <c r="I23" s="1"/>
  <c r="K74"/>
  <c r="J74" s="1"/>
  <c r="G74"/>
  <c r="H73"/>
  <c r="I73" s="1"/>
  <c r="I74" s="1"/>
  <c r="E37" i="22" s="1"/>
  <c r="E41" i="21" s="1"/>
  <c r="K73" i="19"/>
  <c r="H38" l="1"/>
  <c r="I38" s="1"/>
  <c r="H37"/>
  <c r="I37" s="1"/>
  <c r="H36"/>
  <c r="K36"/>
  <c r="K17"/>
  <c r="H17"/>
  <c r="I17" s="1"/>
  <c r="H81"/>
  <c r="H80"/>
  <c r="K81"/>
  <c r="K80"/>
  <c r="K79"/>
  <c r="I36" l="1"/>
  <c r="H54" l="1"/>
  <c r="I54" s="1"/>
  <c r="I81" l="1"/>
  <c r="I80"/>
  <c r="H68"/>
  <c r="I68" s="1"/>
  <c r="H67"/>
  <c r="I67" s="1"/>
  <c r="I82" l="1"/>
  <c r="E43" i="22" s="1"/>
  <c r="E47" i="21" s="1"/>
  <c r="I49" s="1"/>
  <c r="I70" i="19"/>
  <c r="H49"/>
  <c r="I49" s="1"/>
  <c r="H58" l="1"/>
  <c r="I58" s="1"/>
  <c r="H59"/>
  <c r="I59" s="1"/>
  <c r="I62" l="1"/>
  <c r="H39"/>
  <c r="H27"/>
  <c r="I27" s="1"/>
  <c r="I39" l="1"/>
  <c r="C4" i="23"/>
  <c r="H84" i="19"/>
  <c r="I84" s="1"/>
  <c r="I85" s="1"/>
  <c r="E50" i="21" s="1"/>
  <c r="H64" i="19"/>
  <c r="I64" s="1"/>
  <c r="H53"/>
  <c r="H52"/>
  <c r="H48"/>
  <c r="I48" s="1"/>
  <c r="H47"/>
  <c r="I47" s="1"/>
  <c r="H42"/>
  <c r="I42" s="1"/>
  <c r="I45" s="1"/>
  <c r="H31"/>
  <c r="H32"/>
  <c r="I32" s="1"/>
  <c r="H33"/>
  <c r="I33" s="1"/>
  <c r="H34"/>
  <c r="I34" s="1"/>
  <c r="H35"/>
  <c r="I35" s="1"/>
  <c r="H30"/>
  <c r="I30" s="1"/>
  <c r="H24"/>
  <c r="I24" s="1"/>
  <c r="H25"/>
  <c r="I26"/>
  <c r="H20"/>
  <c r="I20" s="1"/>
  <c r="I21" s="1"/>
  <c r="H16"/>
  <c r="I16" s="1"/>
  <c r="I50" l="1"/>
  <c r="I65"/>
  <c r="I53"/>
  <c r="I52"/>
  <c r="I56" l="1"/>
  <c r="I31"/>
  <c r="I40" s="1"/>
  <c r="I25"/>
  <c r="I28" s="1"/>
  <c r="H15"/>
  <c r="I15" s="1"/>
  <c r="I18" s="1"/>
  <c r="I86" l="1"/>
  <c r="M57"/>
  <c r="K53" l="1"/>
  <c r="K25" l="1"/>
  <c r="K31"/>
  <c r="K26" l="1"/>
  <c r="K64" l="1"/>
  <c r="E35" i="21" l="1"/>
  <c r="K84" i="19"/>
  <c r="K85" s="1"/>
  <c r="J85" s="1"/>
  <c r="G85"/>
  <c r="G62"/>
  <c r="E46" i="22" l="1"/>
  <c r="B7"/>
  <c r="E7"/>
  <c r="G45" i="19"/>
  <c r="K42"/>
  <c r="K45" s="1"/>
  <c r="G40"/>
  <c r="K34"/>
  <c r="K33"/>
  <c r="K32"/>
  <c r="K30"/>
  <c r="K40" s="1"/>
  <c r="J40" s="1"/>
  <c r="G28"/>
  <c r="K24"/>
  <c r="K28" s="1"/>
  <c r="J28" s="1"/>
  <c r="G21"/>
  <c r="K20"/>
  <c r="K21" s="1"/>
  <c r="E38" i="21"/>
  <c r="E11"/>
  <c r="K15" i="19"/>
  <c r="K18" s="1"/>
  <c r="J18" s="1"/>
  <c r="G70"/>
  <c r="G65"/>
  <c r="G56"/>
  <c r="G50"/>
  <c r="G18"/>
  <c r="K52"/>
  <c r="K56" s="1"/>
  <c r="J56" s="1"/>
  <c r="K16"/>
  <c r="K48"/>
  <c r="K62"/>
  <c r="J62" s="1"/>
  <c r="K70"/>
  <c r="J70" s="1"/>
  <c r="K47"/>
  <c r="K50" s="1"/>
  <c r="J50" s="1"/>
  <c r="K65"/>
  <c r="J65" s="1"/>
  <c r="E23" i="21" l="1"/>
  <c r="F25" s="1"/>
  <c r="E20"/>
  <c r="E32"/>
  <c r="H40"/>
  <c r="E14"/>
  <c r="E22" i="22"/>
  <c r="E29" i="21" l="1"/>
  <c r="G31" s="1"/>
  <c r="E25" i="22"/>
  <c r="E26" i="21"/>
  <c r="F28" s="1"/>
  <c r="E16" i="22"/>
  <c r="E17" i="21"/>
  <c r="F19" s="1"/>
  <c r="F13"/>
  <c r="E11" i="22"/>
  <c r="F22" i="21"/>
  <c r="G34"/>
  <c r="E31" i="22"/>
  <c r="I37" i="21"/>
  <c r="H37"/>
  <c r="E14" i="22"/>
  <c r="F16" i="21"/>
  <c r="E35" i="22"/>
  <c r="E33"/>
  <c r="E19"/>
  <c r="E28"/>
  <c r="I40" i="21"/>
  <c r="G40"/>
  <c r="E49" i="22" l="1"/>
  <c r="D43" s="1"/>
  <c r="I52" i="21"/>
  <c r="I53" s="1"/>
  <c r="H43"/>
  <c r="I43"/>
  <c r="G43"/>
  <c r="G46"/>
  <c r="H46"/>
  <c r="I46"/>
  <c r="F31"/>
  <c r="F53" s="1"/>
  <c r="E54"/>
  <c r="H53" l="1"/>
  <c r="G53"/>
  <c r="D47"/>
  <c r="D25" i="22"/>
  <c r="D46"/>
  <c r="F54" i="21"/>
  <c r="D40" i="22"/>
  <c r="D31"/>
  <c r="D32" i="21"/>
  <c r="D11"/>
  <c r="D17"/>
  <c r="D35"/>
  <c r="D26"/>
  <c r="D23"/>
  <c r="D14"/>
  <c r="D20"/>
  <c r="D38"/>
  <c r="D11" i="22"/>
  <c r="D22"/>
  <c r="D19"/>
  <c r="D33"/>
  <c r="D35"/>
  <c r="D14"/>
  <c r="D16"/>
  <c r="D44" i="21"/>
  <c r="D41"/>
  <c r="D50"/>
  <c r="D29"/>
  <c r="D37" i="22"/>
  <c r="D28"/>
  <c r="G54" i="21" l="1"/>
  <c r="H54" s="1"/>
  <c r="I54" s="1"/>
  <c r="D49" i="22"/>
  <c r="D54" i="21"/>
</calcChain>
</file>

<file path=xl/sharedStrings.xml><?xml version="1.0" encoding="utf-8"?>
<sst xmlns="http://schemas.openxmlformats.org/spreadsheetml/2006/main" count="311" uniqueCount="209">
  <si>
    <t>Item</t>
  </si>
  <si>
    <t>Descrição</t>
  </si>
  <si>
    <t xml:space="preserve">UN </t>
  </si>
  <si>
    <t>Unitário</t>
  </si>
  <si>
    <t>SERVIÇOS PRELIMINARES</t>
  </si>
  <si>
    <t>MOVIMENTO DE SOLOS</t>
  </si>
  <si>
    <t>TOTAL-----------------»</t>
  </si>
  <si>
    <t>DISCRIMINAÇÃO DOS SERVIÇOS</t>
  </si>
  <si>
    <t>%</t>
  </si>
  <si>
    <t>VALOR DO ITEM</t>
  </si>
  <si>
    <t>(R$)</t>
  </si>
  <si>
    <t>Serviços Preliminares</t>
  </si>
  <si>
    <t xml:space="preserve">Movimento de Solos </t>
  </si>
  <si>
    <t xml:space="preserve">Revestimentos </t>
  </si>
  <si>
    <t>Pinturas</t>
  </si>
  <si>
    <t>TOTAIS MENSAIS</t>
  </si>
  <si>
    <t>TOTAIS ACUMULADOS</t>
  </si>
  <si>
    <t>RESUMO DA OBRA</t>
  </si>
  <si>
    <t>ITEM.</t>
  </si>
  <si>
    <t xml:space="preserve"> Serviços Preliminares</t>
  </si>
  <si>
    <t>Movimento de Solos</t>
  </si>
  <si>
    <t>30 DIAS</t>
  </si>
  <si>
    <t>60 DIAS</t>
  </si>
  <si>
    <t>90 DIAS</t>
  </si>
  <si>
    <t>120 DIAS</t>
  </si>
  <si>
    <t>Estrutura</t>
  </si>
  <si>
    <t>Pisos</t>
  </si>
  <si>
    <t>PLACA DE OBRA EM CHAPA DE ACO GALVANIZADO</t>
  </si>
  <si>
    <t xml:space="preserve">Unit. c/ BDI </t>
  </si>
  <si>
    <t>Valor Total</t>
  </si>
  <si>
    <t>TOTAL ACUM.</t>
  </si>
  <si>
    <t>VALORES</t>
  </si>
  <si>
    <t>Quant.</t>
  </si>
  <si>
    <t>ESTRUTURA</t>
  </si>
  <si>
    <t>FUNDAÇÃO</t>
  </si>
  <si>
    <t>IMPERMEABILIZAÇÃO</t>
  </si>
  <si>
    <t>ALVENARIA</t>
  </si>
  <si>
    <t>REVESTIMENTO</t>
  </si>
  <si>
    <t>ESQUADRIAS</t>
  </si>
  <si>
    <t>PISOS</t>
  </si>
  <si>
    <t>PINTURA</t>
  </si>
  <si>
    <t>INSTALAÇÕES HIDRO SANITÁRIAS</t>
  </si>
  <si>
    <r>
      <t>5</t>
    </r>
    <r>
      <rPr>
        <b/>
        <sz val="11"/>
        <rFont val="Calibri"/>
        <family val="2"/>
      </rPr>
      <t>ª</t>
    </r>
    <r>
      <rPr>
        <b/>
        <sz val="11"/>
        <rFont val="Arial"/>
        <family val="2"/>
      </rPr>
      <t xml:space="preserve"> MEDIÇÃO</t>
    </r>
  </si>
  <si>
    <t>VALOR</t>
  </si>
  <si>
    <t>C/ BASE SOB  REMANECENTE</t>
  </si>
  <si>
    <t xml:space="preserve">          Data:17/julho/2017</t>
  </si>
  <si>
    <t>SINAPI</t>
  </si>
  <si>
    <t>M</t>
  </si>
  <si>
    <t>M²</t>
  </si>
  <si>
    <t>LASTRO DE CONCRETO, PREPARO MECÂNICO, INCLUSO ADITIVO IMPERMEABILIZANTE , LANÇAMENTO E ADENSAMENTO</t>
  </si>
  <si>
    <t>M³</t>
  </si>
  <si>
    <r>
      <t>M</t>
    </r>
    <r>
      <rPr>
        <b/>
        <sz val="10"/>
        <rFont val="Arial"/>
        <family val="2"/>
      </rPr>
      <t>²</t>
    </r>
  </si>
  <si>
    <t>74106/001</t>
  </si>
  <si>
    <t>MONTAGEM E DESMONTAGEM DE FÔRMA DE PILARES RETANGULARES E ESTRUTURAS SIMILARES COM ÁREA MÉDIA DAS SEÇÕES MENOR OU IGUAL A  0,25M², PÉ DIREITO SIMPLES, EM CHAPA DE MADEIRA COMPENSADA RESINADA, 6 UTILIZAÇÕES AF_12/2015</t>
  </si>
  <si>
    <t>CONCRETO FCK=25MPA, TRAÇO 1: 2,3 :2, 7 (CIMENTO/ AREIA MÉDIA/ BRITA 1)-PREPARO MECÂNICO COM BETONEIRA 400L. AF_07/2016</t>
  </si>
  <si>
    <t>74209/001</t>
  </si>
  <si>
    <t>EXECUÇÃO DE DEPÓSITO EM CANTEIRO DE OBRA EM CHAPA DE MADEIRA COMPENSADA, NÃO INCLUSO MOBILIÁRIO. AF_04/2016</t>
  </si>
  <si>
    <t>CONCRETO FCK=25MPA, TRAÇO 1:2,3:2,7 (CIMENTO/ AREIA MÉDIA/ BRITA 1)-PREPARO MECÂNICO COM BETONEIRA 400L. AF_07/2016</t>
  </si>
  <si>
    <t>KG</t>
  </si>
  <si>
    <t>UN</t>
  </si>
  <si>
    <t>Fundação</t>
  </si>
  <si>
    <t>Impermeabilização</t>
  </si>
  <si>
    <t>Alvenaria</t>
  </si>
  <si>
    <t>Revestimento</t>
  </si>
  <si>
    <t>Cobertura</t>
  </si>
  <si>
    <t>Esquadrias</t>
  </si>
  <si>
    <t>Pintura</t>
  </si>
  <si>
    <t>Instalações Hidro Sanitárias</t>
  </si>
  <si>
    <t>B.D.I: 27,63%</t>
  </si>
  <si>
    <t xml:space="preserve">       PLANILHA  ORÇAMENTÁRIA </t>
  </si>
  <si>
    <r>
      <t>M</t>
    </r>
    <r>
      <rPr>
        <i/>
        <sz val="10"/>
        <rFont val="Arial"/>
        <family val="2"/>
      </rPr>
      <t>²</t>
    </r>
  </si>
  <si>
    <t>TOTAL GERAL DO ORÇAMENTO</t>
  </si>
  <si>
    <t>IMPERMEABILIZAÇÃO DE ESTRUTURAS ENTERRADAS, COM TINTA ASFALTICA, DUAS DEMÃOS.</t>
  </si>
  <si>
    <t>3.1</t>
  </si>
  <si>
    <t>1.1</t>
  </si>
  <si>
    <t>2.1</t>
  </si>
  <si>
    <t>3.2</t>
  </si>
  <si>
    <t>4.1</t>
  </si>
  <si>
    <t>4.2</t>
  </si>
  <si>
    <t>4.3</t>
  </si>
  <si>
    <t>5.1</t>
  </si>
  <si>
    <t>7.1</t>
  </si>
  <si>
    <t>10.1</t>
  </si>
  <si>
    <t>10.2</t>
  </si>
  <si>
    <t>11.1</t>
  </si>
  <si>
    <t xml:space="preserve">                                      Município: Santo Antonio do Leste - MT</t>
  </si>
  <si>
    <t xml:space="preserve">COMPOSIÇÕES DE VALORES </t>
  </si>
  <si>
    <t>COMPOSIÇÃO 002</t>
  </si>
  <si>
    <t>Serviços Finais</t>
  </si>
  <si>
    <t>SERVIÇOS FINAIS</t>
  </si>
  <si>
    <t>74157/004</t>
  </si>
  <si>
    <t xml:space="preserve">LANCAMENTO/APLICACAO MANUAL DE CONCRETO EM FUNDACOES </t>
  </si>
  <si>
    <t>VERGA MOLDADA IN LOCO EM CONCRETO PARA PORTAS COM ATÉ 1,5 M DE VÃO. AF _03/2016</t>
  </si>
  <si>
    <t>14.1</t>
  </si>
  <si>
    <t>MASSA ÚNICA, PARA RECEBIMENTO DE PINTURA, EM ARGAMASSA TRAÇO 1:2:8, PREPARO MECÂNICO COM BETONEIRA 400L, APLICADA MANUALMENTE EM FACES INTERNAS DE PAREDES, ESPESSURA DE 20MM, COM EXECUÇÃO DE TALISCAS. AF_06/2014</t>
  </si>
  <si>
    <t>ALVENARIA DE VEDAÇÃO DE BLOCOS CERÂMICOS FURADOS NA HORIZONTAL DE 14X9X19CM (ESPESSURA 14CM, BLOCO DEITADO) DE PAREDES COM ÁREA LÍQUIDA MAIOR OU IGUAL A 6M² COM VÃOS E ARGAMASSA DE ASSENTAMENTO COM PREPARO EM BETONEIRA. AF_06/2014</t>
  </si>
  <si>
    <t>3.3</t>
  </si>
  <si>
    <t>4.4</t>
  </si>
  <si>
    <t>4.5</t>
  </si>
  <si>
    <t>4.6</t>
  </si>
  <si>
    <t>1.2</t>
  </si>
  <si>
    <t>3.4</t>
  </si>
  <si>
    <t>3.5</t>
  </si>
  <si>
    <t>6.2</t>
  </si>
  <si>
    <t>UNID.</t>
  </si>
  <si>
    <t>COMPOSIÇÃO 001</t>
  </si>
  <si>
    <t>ARMAÇÃO DE BLOCO, VIGA BALDRAME OU SAPATA UTILIZANDO AÇO CA-50 DE 8,0MM - MONTAGEM. AF_06/2017</t>
  </si>
  <si>
    <t>4.7</t>
  </si>
  <si>
    <t>1.3</t>
  </si>
  <si>
    <t>4.8</t>
  </si>
  <si>
    <t>4.9</t>
  </si>
  <si>
    <t>6.1</t>
  </si>
  <si>
    <t>10.3</t>
  </si>
  <si>
    <t xml:space="preserve">       CRONOGRAMA FÍSICO-FINANCEIRO </t>
  </si>
  <si>
    <t>AMARÇÃO DE BLOCO, VIGA BALDRAME OU SAPATA UTILIZANDO AÇO CA-50 DE 12,5MM-MONTAGEM  AF_06/2018</t>
  </si>
  <si>
    <t>4.10</t>
  </si>
  <si>
    <t>APLICAÇÃO MANUAL DE FUNDO SELADOR ACRÍLICO EM PAREDES EXTERNAS DE CASAS. AF_06/2014</t>
  </si>
  <si>
    <t>APLICAÇÃO MANUAL DE MASSA ACRÍLICA EM PAREDES EXTERNAS DE CASAS, UMA DEMÃO. AF_05/2017</t>
  </si>
  <si>
    <t>TUBO PVC, SÉRIE R, ÁGUA PLUVIAL, DN 100 MM, FORNECIDO E INSTALADO EM CONDUTORES VERTICAIS DE ÁGUAS PLUVIAIS. AF_12/2014</t>
  </si>
  <si>
    <t>JOELHO 90 GRAUS, PVC, SERIE R, ÁGUA PLUVIAL, DN 100 MM, JUNTA ELÁSTICA, FORNECIDO E INSTALADO EM RAMAL DE ENCAMINHAMENTO. AF_12/2014</t>
  </si>
  <si>
    <t xml:space="preserve">             ÁGUAS PLUVIAIS</t>
  </si>
  <si>
    <t>74077/003</t>
  </si>
  <si>
    <t>LOCACAO CONVENCIONAL DE OBRA, ATRAVÉS DE GABARITO DE TABUAS CORRIDAS PONTALETADAS, COM REAPROVEITAMENTO DE 3 VEZES.</t>
  </si>
  <si>
    <t xml:space="preserve">LANÇAMENTO/APLICAÇÃO MANUAL DE CONCRETO EM FUNDAÇÕES </t>
  </si>
  <si>
    <t>ARMAÇÃO DE PILAR OU VIGA DE UMA ESTRUTURA CONVENCIONAL DE CONCRETO ARMADO EM UMA EDIFICAÇÃO TÉRREA OU SOBRADO UTILIZANDO AÇO CA-60 DE 5,0MM- MONTAGEM. AF_12/2015</t>
  </si>
  <si>
    <t>ARMAÇÃO DE PILAR OU VIGA DE UMA ESTRUTURA CONVENCIONAL DE CONCRETO ARMADO EM UMA EDIFICAÇÃO TÉRREA OU SOBRADO UTILIZANDO AÇO CA-50 DE 6,3MM- MONTAGEM. AF_12/2015</t>
  </si>
  <si>
    <t>ARMAÇÃO DE PILAR OU VIGA DE UMA ESTRUTURA CONVENCIONAL DE CONCRETO ARMADO EM UMA EDIFICAÇÃO TÉRREA OU SOBRADO UTILIZANDO AÇO CA-50 DE 8,0MM- MONTAGEM. AF_12/2015</t>
  </si>
  <si>
    <t>ARMAÇÃO DE PILAR OU VIGA DE UMA ESTRUTURA CONVENCIONAL DE CONCRETO ARMADO EM UMA EDIFICAÇÃO TÉRREA OU SOBRADO UTILIZANDO AÇO CA-50 DE 12,5MM- MONTAGEM. AF_12/2015</t>
  </si>
  <si>
    <t>ARMAÇÃO DE PILAR OU VIGA DE UMA ESTRUTURA CONVENCIONAL DE CONCRETO ARMADO EM UMA EDIFICAÇÃO TÉRREA OU SOBRADO UTILIZANDO AÇO CA-50 DE 16,0MM- MONTAGEM. AF_12/2016</t>
  </si>
  <si>
    <t>ESTRUTURA EM CHAPA DE AÇO ASTM A36 CORTE, SOLDA E MONTAGEM -FORNECIMENTO E INSTALAÇÃO</t>
  </si>
  <si>
    <t>DNIT 2408149</t>
  </si>
  <si>
    <t>PORTA EM ALUMÍNIO DE ABRIR TIPO VENEZIANA COM GUARNIÇÃO, FIXAÇÃO COM PARAFUSOS - FORNECIMENTO E INSTALAÇÃO. AF_08/2015</t>
  </si>
  <si>
    <t>73933/004</t>
  </si>
  <si>
    <t>PORTA DE FERRO DE ABRIR TIPO BARRA CHATA, COM REQUADRO E GUARNICAO COMPLETA</t>
  </si>
  <si>
    <t>FIXAÇÃO (ENCUNHAMENTO) DE ALVENARIA DE VEDAÇÃO COM TIJOLO MACIÇO. AF_03/2016</t>
  </si>
  <si>
    <t xml:space="preserve">URBANIZAÇÃO </t>
  </si>
  <si>
    <t xml:space="preserve">PLANTIO DE GRAMA ESMERALDA EM ROLO </t>
  </si>
  <si>
    <t>PINTURA EPOXI, DUAS DEMÃOS</t>
  </si>
  <si>
    <t>CONCRETO FCK = 20MPA, TRAÇO 1:2,7:3 (CIMENTO/ AREIA MÉDIA/ BRITA 1) - PREPARO MECÂNICO COM BETONEIRA 400 L. AF_07/2016</t>
  </si>
  <si>
    <t>IMPERMEABILIZAÇÃO DE PAREDES COM ARGAMASSA DE CIMENTO E AREIA, COM ADITIVO IMPERMEABILIZANTE, E = 2CM. AF_06/2018</t>
  </si>
  <si>
    <t>IMPERMEABILIZAÇÃO DE SUPERFÍCIE COM MANTA ASFÁLTICA, DUAS CAMADAS, INCLUSIVE APLICAÇÃO DE PRIMER ASFÁLTICO, E=3MM E E=4MM. AF_06/2018</t>
  </si>
  <si>
    <t>5.2</t>
  </si>
  <si>
    <t>5.3</t>
  </si>
  <si>
    <t>74194/001</t>
  </si>
  <si>
    <t xml:space="preserve">ESCADA TIPO MARINHEIRO EM TUBO ACO GALVANIZADO 1 1/2" 5 DEGRAUS </t>
  </si>
  <si>
    <t>74195/001</t>
  </si>
  <si>
    <t xml:space="preserve">GUARDA-CORPO COM CORRIMAO EM FERRO BARRA CHATA 3/16" </t>
  </si>
  <si>
    <t xml:space="preserve">Local da Obra: Rotatória de acesso  a Avenida Fortaleza, Jardim Santa Inês </t>
  </si>
  <si>
    <t>6.3</t>
  </si>
  <si>
    <t>7.2</t>
  </si>
  <si>
    <t>8.1</t>
  </si>
  <si>
    <t>8.2</t>
  </si>
  <si>
    <t>8.3</t>
  </si>
  <si>
    <t>8.4</t>
  </si>
  <si>
    <t>9.1</t>
  </si>
  <si>
    <t>7.3</t>
  </si>
  <si>
    <t>CHAPISCO APLICADO EM ALVENARIA (SEM PRESENÇA DE VÃOS) E ESTRUTURAS DE CONCRETO DE FACHADA, COM EQUIPAMENTO DE PROJEÇÃO, ARGAMASSA TRAÇO 1:3</t>
  </si>
  <si>
    <t xml:space="preserve"> Unid </t>
  </si>
  <si>
    <t>Tot. Parcial do Serviço</t>
  </si>
  <si>
    <t>A</t>
  </si>
  <si>
    <t>B</t>
  </si>
  <si>
    <t>C</t>
  </si>
  <si>
    <t>COTAÇÕES</t>
  </si>
  <si>
    <t>EMPRESAS</t>
  </si>
  <si>
    <t>MÉDIANA</t>
  </si>
  <si>
    <t>OBJETO</t>
  </si>
  <si>
    <t>DATA 22/01/2019</t>
  </si>
  <si>
    <t>COLOR PRINT</t>
  </si>
  <si>
    <t>COLORPRINT COMUNICAÇÃO VISUAL LTDA                      RUA RIO DE JANEIRO Nº2673-PRIMAVERA IV, PRIMAVERA DO LESTE -MT
CNPJ: 10.968.671/0001-02
FONE: (66) 3498-9665</t>
  </si>
  <si>
    <t>VENDEDOR: ELIAKIM S. LOPES</t>
  </si>
  <si>
    <t>PAINEL EM ACM</t>
  </si>
  <si>
    <t>CTRL + P</t>
  </si>
  <si>
    <t>CTRL+P COMUNICAÇÃO VISUAL                                       RUA JOÃO GOMES SOBRINHO Nº700-SETOR LIXEIRA, CUIABÁ - MT 
CNPJ: 13.985.042/0001-70
FONE: (65) 3623-2365</t>
  </si>
  <si>
    <t>VENDEDOR:LUIZ FERNANDO EHARA</t>
  </si>
  <si>
    <t>DATA 17/01/2019</t>
  </si>
  <si>
    <t>APP</t>
  </si>
  <si>
    <t>APP IMPRESSÃO DIGITAL LTDA                                          AVENIDA CASCAVEL  Nº651-JARDIM DAS AMÉRICAS, PRIMAVERA DO LESTE -MT
CNPJ: 11.049.370/0001-30
FONE: (66) 3498-3378</t>
  </si>
  <si>
    <t>VENDEDOR: LARI GNADT</t>
  </si>
  <si>
    <t>PAINEL REVESTIDO POR PLACAS DE ACM (alumínio composto) RECORTADO, E=0,3mm, NA COR CINZA MÉDIO, DIMENSÕES CONFORME PROJETO TÉCNICO, INCLUINDO ESTRUTURA DE  FIXAÇÃO DE PLACAS EXLCUSIVE  ESTRUTURA METÁLICA ESPACIAL EXISTENTE - FORNECIMENTO E INSTALAÇÃO.</t>
  </si>
  <si>
    <t>PAINEL REVESTIDO POR PLACAS DE ACM (alumínio composto) RECORTADO, E=0,3mm, NA COR CINZA MÉDIO, DIMENSÕES CONFORME PROJETO TÉCNICO, INCLUINDO ESTRUTURA DE  FIXAÇÃO DE PLACAS EXCLUSIVE  ESTRUTURA METÁLICA ESPACIAL EXISTENTE - FORNECIMENTO E INSTALAÇÃO.</t>
  </si>
  <si>
    <t>PAINEL EM ACM- M²</t>
  </si>
  <si>
    <t xml:space="preserve"> Unid -M²</t>
  </si>
  <si>
    <t>]</t>
  </si>
  <si>
    <t>LETRA CAIXA EM ACM COM ILUMINAÇÃO EM LED, CONFORME PROJETO TÉCNICO, INCLUSIVE INSTALAÇÃO ELÉTRICA GERAL</t>
  </si>
  <si>
    <t>LETRA CAIXA EM ACM- UNID.</t>
  </si>
  <si>
    <t>COBERTURA</t>
  </si>
  <si>
    <t>7.4</t>
  </si>
  <si>
    <t>12.1</t>
  </si>
  <si>
    <t>13.01</t>
  </si>
  <si>
    <t>13.02</t>
  </si>
  <si>
    <t>TELHAMENTO COM TELHA DE AÇO/ALUMÍNIO E = 0,5 MM, COM ATÉ 2 ÁGUAS, INCLUSO IÇAMENTO. AF_06/2016</t>
  </si>
  <si>
    <t>REVOLVIMENTO E LIMPEZA MANUAL DE SOLO. AF_05/2018 M2 CR 1,40</t>
  </si>
  <si>
    <t>11.2</t>
  </si>
  <si>
    <t>Urbanização</t>
  </si>
  <si>
    <t>Instalações hidro sanitárias</t>
  </si>
  <si>
    <t xml:space="preserve">                                 Local da Obra: Rotatória de acesso  a Avenida Fortaleza, Jardim Santa Inês                                                 Coordenadas Geograficas da Obra: Latitude 14°48'39.5"S - Longitude 53°36'37.7"O</t>
  </si>
  <si>
    <t xml:space="preserve">  EXECUÇÃO DE OBRAS DE CONSTRUÇÃO DO PÓRTICO DE ENTRADA DA CIDADE DE SANTO ANTONIO DO LESTE-MT</t>
  </si>
  <si>
    <t>Coordenadas Geograficas da Obra: Latitude 14°48'39.5"S - Longitude 53°36'37.7"O</t>
  </si>
  <si>
    <t>LETRA CAIXA EM ACM</t>
  </si>
  <si>
    <t xml:space="preserve">                                    EXECUÇÃO DE OBRAS DE CONSTRUÇÃO DO PÓRTICO DE ENTRADA DA CIDADE DE SANTO ANTONIO DO LESTE-MT</t>
  </si>
  <si>
    <t>73806/001</t>
  </si>
  <si>
    <t>LIMPEZA DE SUPERFICIES COM JATO DE ALTA PRESSAO DE AR E AGUA (LIMPEZA FINAL DE OBRA)</t>
  </si>
  <si>
    <t>INSUMOS E COMPOSIÇÕES / REF. SINAPI/MT - MARÇO/2019</t>
  </si>
  <si>
    <t>ESCAVAÇÃO MANUAL DE VALA/CAVA EM LODO, ENTRE 3 E 4,5M DE PROFUNDIDADE (TUBULÕES)</t>
  </si>
  <si>
    <t>79506/002</t>
  </si>
  <si>
    <t xml:space="preserve">                                       Fonte de valores:SINAPI - 03/2019-DESONERADO</t>
  </si>
  <si>
    <t>ENCARGOS SOCIAIS SOBRE MÃO DE OBRA: 86,39%</t>
  </si>
  <si>
    <t>DATA:02/05/2019</t>
  </si>
  <si>
    <t>IMPORTA O PRESENTE ORÇAMENTO EM R$- QUATROCENTOS E OITENTA E SEIS MIL, SEISCENTOS E VINTE E QUATRO REAIS E VINTE E NOVE CENTAVOS</t>
  </si>
</sst>
</file>

<file path=xl/styles.xml><?xml version="1.0" encoding="utf-8"?>
<styleSheet xmlns="http://schemas.openxmlformats.org/spreadsheetml/2006/main">
  <numFmts count="5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#,##0.0000"/>
    <numFmt numFmtId="167" formatCode="0.000"/>
    <numFmt numFmtId="168" formatCode="0.0000"/>
  </numFmts>
  <fonts count="28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9"/>
      <color indexed="10"/>
      <name val="Geneva"/>
      <family val="2"/>
    </font>
    <font>
      <b/>
      <u/>
      <sz val="18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b/>
      <sz val="10"/>
      <color theme="0"/>
      <name val="Arial"/>
      <family val="2"/>
    </font>
    <font>
      <b/>
      <sz val="36"/>
      <color theme="0"/>
      <name val="Arial"/>
      <family val="2"/>
    </font>
    <font>
      <b/>
      <sz val="12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</borders>
  <cellStyleXfs count="64">
    <xf numFmtId="0" fontId="0" fillId="0" borderId="0"/>
    <xf numFmtId="0" fontId="15" fillId="0" borderId="0"/>
    <xf numFmtId="0" fontId="15" fillId="0" borderId="0"/>
    <xf numFmtId="0" fontId="14" fillId="0" borderId="0"/>
    <xf numFmtId="0" fontId="2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2" fillId="0" borderId="0"/>
    <xf numFmtId="0" fontId="22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30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168" fontId="0" fillId="0" borderId="0" xfId="0" applyNumberFormat="1"/>
    <xf numFmtId="4" fontId="0" fillId="0" borderId="0" xfId="0" applyNumberFormat="1" applyAlignment="1">
      <alignment horizont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/>
    <xf numFmtId="0" fontId="0" fillId="0" borderId="0" xfId="0" applyBorder="1" applyAlignment="1">
      <alignment horizontal="left" vertical="center" wrapText="1"/>
    </xf>
    <xf numFmtId="0" fontId="5" fillId="0" borderId="0" xfId="0" applyFont="1"/>
    <xf numFmtId="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8" fontId="0" fillId="2" borderId="0" xfId="0" applyNumberFormat="1" applyFill="1"/>
    <xf numFmtId="0" fontId="3" fillId="5" borderId="1" xfId="0" applyFont="1" applyFill="1" applyBorder="1" applyAlignment="1">
      <alignment vertical="center" wrapText="1"/>
    </xf>
    <xf numFmtId="0" fontId="11" fillId="0" borderId="0" xfId="0" applyFont="1"/>
    <xf numFmtId="0" fontId="5" fillId="0" borderId="0" xfId="0" applyFont="1" applyBorder="1"/>
    <xf numFmtId="0" fontId="11" fillId="0" borderId="2" xfId="0" applyFont="1" applyBorder="1"/>
    <xf numFmtId="0" fontId="5" fillId="0" borderId="2" xfId="0" applyFont="1" applyBorder="1"/>
    <xf numFmtId="0" fontId="3" fillId="0" borderId="3" xfId="0" applyFont="1" applyBorder="1"/>
    <xf numFmtId="0" fontId="11" fillId="0" borderId="3" xfId="0" applyFont="1" applyBorder="1"/>
    <xf numFmtId="0" fontId="13" fillId="0" borderId="4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0" fontId="11" fillId="0" borderId="6" xfId="34" applyNumberFormat="1" applyFont="1" applyBorder="1"/>
    <xf numFmtId="10" fontId="11" fillId="0" borderId="4" xfId="34" applyNumberFormat="1" applyFont="1" applyBorder="1"/>
    <xf numFmtId="165" fontId="11" fillId="0" borderId="8" xfId="50" applyFont="1" applyBorder="1"/>
    <xf numFmtId="165" fontId="11" fillId="0" borderId="7" xfId="50" applyFont="1" applyBorder="1"/>
    <xf numFmtId="165" fontId="11" fillId="0" borderId="4" xfId="50" applyFont="1" applyBorder="1"/>
    <xf numFmtId="165" fontId="11" fillId="3" borderId="1" xfId="50" applyFont="1" applyFill="1" applyBorder="1"/>
    <xf numFmtId="165" fontId="11" fillId="4" borderId="4" xfId="50" applyFont="1" applyFill="1" applyBorder="1"/>
    <xf numFmtId="10" fontId="11" fillId="0" borderId="9" xfId="34" applyNumberFormat="1" applyFont="1" applyFill="1" applyBorder="1"/>
    <xf numFmtId="10" fontId="11" fillId="0" borderId="5" xfId="34" applyNumberFormat="1" applyFont="1" applyFill="1" applyBorder="1"/>
    <xf numFmtId="165" fontId="11" fillId="3" borderId="10" xfId="50" applyFont="1" applyFill="1" applyBorder="1"/>
    <xf numFmtId="10" fontId="11" fillId="3" borderId="1" xfId="34" applyNumberFormat="1" applyFont="1" applyFill="1" applyBorder="1"/>
    <xf numFmtId="10" fontId="11" fillId="0" borderId="5" xfId="34" applyNumberFormat="1" applyFont="1" applyBorder="1"/>
    <xf numFmtId="10" fontId="11" fillId="0" borderId="11" xfId="34" applyNumberFormat="1" applyFont="1" applyBorder="1"/>
    <xf numFmtId="10" fontId="11" fillId="4" borderId="5" xfId="34" applyNumberFormat="1" applyFont="1" applyFill="1" applyBorder="1"/>
    <xf numFmtId="10" fontId="11" fillId="4" borderId="11" xfId="34" applyNumberFormat="1" applyFont="1" applyFill="1" applyBorder="1"/>
    <xf numFmtId="165" fontId="11" fillId="0" borderId="11" xfId="50" applyFont="1" applyFill="1" applyBorder="1"/>
    <xf numFmtId="165" fontId="11" fillId="0" borderId="11" xfId="50" applyFont="1" applyBorder="1"/>
    <xf numFmtId="165" fontId="11" fillId="0" borderId="12" xfId="50" applyFont="1" applyFill="1" applyBorder="1"/>
    <xf numFmtId="10" fontId="11" fillId="4" borderId="12" xfId="34" applyNumberFormat="1" applyFont="1" applyFill="1" applyBorder="1"/>
    <xf numFmtId="165" fontId="13" fillId="0" borderId="7" xfId="50" applyFont="1" applyBorder="1"/>
    <xf numFmtId="9" fontId="13" fillId="0" borderId="1" xfId="34" applyNumberFormat="1" applyFont="1" applyBorder="1" applyAlignment="1">
      <alignment horizontal="center"/>
    </xf>
    <xf numFmtId="165" fontId="13" fillId="0" borderId="1" xfId="50" applyFont="1" applyBorder="1" applyAlignment="1">
      <alignment horizontal="center"/>
    </xf>
    <xf numFmtId="165" fontId="11" fillId="0" borderId="1" xfId="0" applyNumberFormat="1" applyFont="1" applyBorder="1"/>
    <xf numFmtId="0" fontId="13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/>
    <xf numFmtId="0" fontId="0" fillId="0" borderId="0" xfId="0" applyBorder="1"/>
    <xf numFmtId="4" fontId="3" fillId="5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4" fontId="3" fillId="6" borderId="0" xfId="0" applyNumberFormat="1" applyFont="1" applyFill="1" applyBorder="1" applyAlignment="1">
      <alignment horizontal="right" vertical="center"/>
    </xf>
    <xf numFmtId="0" fontId="5" fillId="5" borderId="0" xfId="0" applyNumberFormat="1" applyFont="1" applyFill="1" applyBorder="1" applyAlignment="1">
      <alignment horizontal="center" vertical="center"/>
    </xf>
    <xf numFmtId="0" fontId="3" fillId="5" borderId="0" xfId="0" quotePrefix="1" applyFont="1" applyFill="1" applyBorder="1" applyAlignment="1">
      <alignment horizontal="center" vertical="center" wrapText="1"/>
    </xf>
    <xf numFmtId="4" fontId="12" fillId="6" borderId="0" xfId="0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justify" vertical="center" wrapText="1"/>
    </xf>
    <xf numFmtId="4" fontId="5" fillId="5" borderId="0" xfId="45" applyNumberFormat="1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vertical="center" wrapText="1"/>
    </xf>
    <xf numFmtId="0" fontId="17" fillId="0" borderId="0" xfId="24" applyFont="1" applyBorder="1"/>
    <xf numFmtId="4" fontId="5" fillId="0" borderId="0" xfId="45" applyNumberFormat="1" applyFont="1" applyFill="1" applyBorder="1" applyAlignment="1">
      <alignment vertical="center"/>
    </xf>
    <xf numFmtId="10" fontId="11" fillId="0" borderId="12" xfId="34" applyNumberFormat="1" applyFont="1" applyFill="1" applyBorder="1"/>
    <xf numFmtId="0" fontId="11" fillId="0" borderId="22" xfId="0" applyFont="1" applyBorder="1" applyAlignment="1">
      <alignment horizontal="left" vertical="center"/>
    </xf>
    <xf numFmtId="165" fontId="11" fillId="0" borderId="23" xfId="50" applyFont="1" applyBorder="1"/>
    <xf numFmtId="165" fontId="11" fillId="0" borderId="22" xfId="50" applyFont="1" applyBorder="1"/>
    <xf numFmtId="0" fontId="13" fillId="4" borderId="17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8" borderId="0" xfId="0" applyFill="1" applyAlignment="1">
      <alignment vertical="center" wrapText="1"/>
    </xf>
    <xf numFmtId="0" fontId="17" fillId="8" borderId="0" xfId="24" applyFont="1" applyFill="1" applyBorder="1"/>
    <xf numFmtId="4" fontId="5" fillId="8" borderId="0" xfId="45" applyNumberFormat="1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167" fontId="17" fillId="8" borderId="0" xfId="24" applyNumberFormat="1" applyFont="1" applyFill="1" applyBorder="1"/>
    <xf numFmtId="0" fontId="9" fillId="8" borderId="0" xfId="0" applyFont="1" applyFill="1" applyAlignment="1">
      <alignment vertical="center"/>
    </xf>
    <xf numFmtId="0" fontId="5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8" fillId="8" borderId="0" xfId="0" applyFont="1" applyFill="1" applyAlignment="1">
      <alignment vertical="center" wrapText="1"/>
    </xf>
    <xf numFmtId="0" fontId="3" fillId="8" borderId="0" xfId="0" quotePrefix="1" applyFont="1" applyFill="1" applyBorder="1" applyAlignment="1">
      <alignment horizontal="center" vertical="center" wrapText="1"/>
    </xf>
    <xf numFmtId="0" fontId="0" fillId="8" borderId="0" xfId="0" applyFill="1"/>
    <xf numFmtId="0" fontId="8" fillId="8" borderId="0" xfId="0" applyFont="1" applyFill="1"/>
    <xf numFmtId="0" fontId="0" fillId="2" borderId="0" xfId="0" applyFill="1" applyBorder="1"/>
    <xf numFmtId="0" fontId="2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4" fontId="7" fillId="7" borderId="0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vertical="center"/>
    </xf>
    <xf numFmtId="10" fontId="3" fillId="7" borderId="0" xfId="0" applyNumberFormat="1" applyFont="1" applyFill="1" applyBorder="1" applyAlignment="1">
      <alignment horizontal="right" vertical="center"/>
    </xf>
    <xf numFmtId="4" fontId="3" fillId="7" borderId="0" xfId="0" applyNumberFormat="1" applyFont="1" applyFill="1" applyBorder="1" applyAlignment="1">
      <alignment vertical="center"/>
    </xf>
    <xf numFmtId="10" fontId="5" fillId="8" borderId="0" xfId="0" applyNumberFormat="1" applyFont="1" applyFill="1" applyBorder="1" applyAlignment="1">
      <alignment horizontal="right" vertical="center"/>
    </xf>
    <xf numFmtId="4" fontId="5" fillId="8" borderId="0" xfId="0" applyNumberFormat="1" applyFont="1" applyFill="1" applyBorder="1" applyAlignment="1">
      <alignment vertical="center"/>
    </xf>
    <xf numFmtId="10" fontId="3" fillId="5" borderId="0" xfId="0" applyNumberFormat="1" applyFont="1" applyFill="1" applyBorder="1" applyAlignment="1">
      <alignment horizontal="right" vertical="center"/>
    </xf>
    <xf numFmtId="4" fontId="12" fillId="7" borderId="0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vertical="center" wrapText="1"/>
    </xf>
    <xf numFmtId="0" fontId="0" fillId="9" borderId="0" xfId="0" applyFill="1"/>
    <xf numFmtId="0" fontId="8" fillId="9" borderId="0" xfId="0" applyFont="1" applyFill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11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5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4" fontId="3" fillId="5" borderId="1" xfId="0" applyNumberFormat="1" applyFont="1" applyFill="1" applyBorder="1" applyAlignment="1">
      <alignment vertical="center"/>
    </xf>
    <xf numFmtId="4" fontId="5" fillId="5" borderId="5" xfId="0" applyNumberFormat="1" applyFont="1" applyFill="1" applyBorder="1" applyAlignment="1">
      <alignment horizontal="right" vertical="center" wrapText="1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1" xfId="0" applyFill="1" applyBorder="1"/>
    <xf numFmtId="0" fontId="0" fillId="0" borderId="14" xfId="0" applyFill="1" applyBorder="1"/>
    <xf numFmtId="0" fontId="0" fillId="0" borderId="14" xfId="0" applyBorder="1"/>
    <xf numFmtId="0" fontId="0" fillId="0" borderId="2" xfId="0" applyBorder="1"/>
    <xf numFmtId="0" fontId="0" fillId="0" borderId="19" xfId="0" applyBorder="1"/>
    <xf numFmtId="0" fontId="5" fillId="0" borderId="25" xfId="0" applyFont="1" applyBorder="1"/>
    <xf numFmtId="0" fontId="5" fillId="0" borderId="21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27" xfId="0" applyFont="1" applyBorder="1"/>
    <xf numFmtId="0" fontId="5" fillId="0" borderId="19" xfId="0" applyFont="1" applyBorder="1"/>
    <xf numFmtId="0" fontId="11" fillId="0" borderId="26" xfId="0" applyFont="1" applyBorder="1"/>
    <xf numFmtId="0" fontId="11" fillId="0" borderId="0" xfId="0" applyFont="1" applyBorder="1"/>
    <xf numFmtId="0" fontId="13" fillId="0" borderId="0" xfId="0" applyFont="1" applyBorder="1"/>
    <xf numFmtId="10" fontId="11" fillId="0" borderId="0" xfId="34" applyNumberFormat="1" applyFont="1" applyBorder="1"/>
    <xf numFmtId="0" fontId="0" fillId="5" borderId="0" xfId="0" applyFill="1"/>
    <xf numFmtId="0" fontId="7" fillId="0" borderId="0" xfId="0" applyFont="1" applyBorder="1" applyAlignment="1"/>
    <xf numFmtId="0" fontId="11" fillId="0" borderId="25" xfId="0" applyFont="1" applyBorder="1"/>
    <xf numFmtId="0" fontId="11" fillId="0" borderId="27" xfId="0" applyFont="1" applyBorder="1"/>
    <xf numFmtId="0" fontId="3" fillId="0" borderId="0" xfId="0" applyFont="1" applyBorder="1"/>
    <xf numFmtId="0" fontId="11" fillId="0" borderId="21" xfId="0" applyFont="1" applyBorder="1"/>
    <xf numFmtId="0" fontId="13" fillId="0" borderId="1" xfId="0" applyFont="1" applyBorder="1" applyAlignment="1">
      <alignment horizontal="center"/>
    </xf>
    <xf numFmtId="165" fontId="13" fillId="0" borderId="21" xfId="50" applyFont="1" applyBorder="1" applyAlignment="1">
      <alignment horizontal="center"/>
    </xf>
    <xf numFmtId="0" fontId="11" fillId="0" borderId="19" xfId="0" applyFont="1" applyBorder="1"/>
    <xf numFmtId="9" fontId="13" fillId="0" borderId="33" xfId="34" applyNumberFormat="1" applyFont="1" applyBorder="1" applyAlignment="1">
      <alignment horizontal="center"/>
    </xf>
    <xf numFmtId="0" fontId="11" fillId="0" borderId="34" xfId="0" applyFont="1" applyBorder="1"/>
    <xf numFmtId="0" fontId="21" fillId="0" borderId="13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0" fillId="5" borderId="1" xfId="0" applyNumberForma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justify" vertical="center" wrapText="1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5" fillId="12" borderId="0" xfId="45" applyNumberFormat="1" applyFont="1" applyFill="1" applyBorder="1" applyAlignment="1">
      <alignment vertical="center"/>
    </xf>
    <xf numFmtId="0" fontId="0" fillId="5" borderId="5" xfId="0" quotePrefix="1" applyFill="1" applyBorder="1" applyAlignment="1">
      <alignment horizontal="center" vertical="center"/>
    </xf>
    <xf numFmtId="168" fontId="0" fillId="5" borderId="5" xfId="0" applyNumberFormat="1" applyFill="1" applyBorder="1" applyAlignment="1">
      <alignment horizontal="center" vertical="center" wrapText="1"/>
    </xf>
    <xf numFmtId="2" fontId="0" fillId="5" borderId="5" xfId="0" applyNumberFormat="1" applyFill="1" applyBorder="1" applyAlignment="1">
      <alignment vertical="center" wrapText="1"/>
    </xf>
    <xf numFmtId="2" fontId="0" fillId="5" borderId="5" xfId="0" applyNumberFormat="1" applyFill="1" applyBorder="1" applyAlignment="1">
      <alignment horizontal="center" vertical="center" wrapText="1"/>
    </xf>
    <xf numFmtId="10" fontId="25" fillId="5" borderId="5" xfId="0" applyNumberFormat="1" applyFont="1" applyFill="1" applyBorder="1" applyAlignment="1">
      <alignment horizontal="center" vertical="center"/>
    </xf>
    <xf numFmtId="10" fontId="3" fillId="5" borderId="5" xfId="0" applyNumberFormat="1" applyFont="1" applyFill="1" applyBorder="1" applyAlignment="1">
      <alignment horizontal="center" vertical="center"/>
    </xf>
    <xf numFmtId="0" fontId="0" fillId="5" borderId="10" xfId="0" quotePrefix="1" applyFill="1" applyBorder="1" applyAlignment="1">
      <alignment horizontal="center" vertical="center"/>
    </xf>
    <xf numFmtId="168" fontId="0" fillId="5" borderId="20" xfId="0" applyNumberFormat="1" applyFill="1" applyBorder="1" applyAlignment="1">
      <alignment horizontal="center" vertical="center" wrapText="1"/>
    </xf>
    <xf numFmtId="2" fontId="0" fillId="5" borderId="20" xfId="0" applyNumberFormat="1" applyFill="1" applyBorder="1" applyAlignment="1">
      <alignment vertical="center" wrapText="1"/>
    </xf>
    <xf numFmtId="2" fontId="0" fillId="5" borderId="20" xfId="0" applyNumberFormat="1" applyFill="1" applyBorder="1" applyAlignment="1">
      <alignment horizontal="center" vertical="center" wrapText="1"/>
    </xf>
    <xf numFmtId="10" fontId="3" fillId="5" borderId="20" xfId="0" applyNumberFormat="1" applyFont="1" applyFill="1" applyBorder="1" applyAlignment="1">
      <alignment horizontal="center" vertical="center"/>
    </xf>
    <xf numFmtId="10" fontId="3" fillId="5" borderId="18" xfId="0" applyNumberFormat="1" applyFont="1" applyFill="1" applyBorder="1" applyAlignment="1">
      <alignment horizontal="center" vertical="center"/>
    </xf>
    <xf numFmtId="165" fontId="13" fillId="0" borderId="1" xfId="0" applyNumberFormat="1" applyFont="1" applyBorder="1"/>
    <xf numFmtId="0" fontId="3" fillId="5" borderId="20" xfId="0" quotePrefix="1" applyFont="1" applyFill="1" applyBorder="1" applyAlignment="1">
      <alignment horizontal="center" vertical="center" wrapText="1"/>
    </xf>
    <xf numFmtId="0" fontId="3" fillId="5" borderId="18" xfId="0" quotePrefix="1" applyFont="1" applyFill="1" applyBorder="1" applyAlignment="1">
      <alignment horizontal="center" vertical="center" wrapText="1"/>
    </xf>
    <xf numFmtId="10" fontId="1" fillId="8" borderId="0" xfId="0" applyNumberFormat="1" applyFont="1" applyFill="1" applyBorder="1" applyAlignment="1">
      <alignment horizontal="right" vertical="center"/>
    </xf>
    <xf numFmtId="4" fontId="1" fillId="8" borderId="0" xfId="0" applyNumberFormat="1" applyFont="1" applyFill="1" applyBorder="1" applyAlignment="1">
      <alignment vertical="center"/>
    </xf>
    <xf numFmtId="4" fontId="1" fillId="8" borderId="0" xfId="45" applyNumberFormat="1" applyFont="1" applyFill="1" applyBorder="1" applyAlignment="1">
      <alignment vertical="center"/>
    </xf>
    <xf numFmtId="10" fontId="1" fillId="9" borderId="0" xfId="0" applyNumberFormat="1" applyFont="1" applyFill="1" applyBorder="1" applyAlignment="1">
      <alignment horizontal="right" vertical="center"/>
    </xf>
    <xf numFmtId="4" fontId="1" fillId="9" borderId="0" xfId="0" applyNumberFormat="1" applyFont="1" applyFill="1" applyBorder="1" applyAlignment="1">
      <alignment vertical="center"/>
    </xf>
    <xf numFmtId="4" fontId="1" fillId="9" borderId="0" xfId="45" applyNumberFormat="1" applyFont="1" applyFill="1" applyBorder="1" applyAlignment="1">
      <alignment vertical="center"/>
    </xf>
    <xf numFmtId="0" fontId="21" fillId="0" borderId="6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7" fillId="0" borderId="19" xfId="0" applyFont="1" applyBorder="1" applyAlignment="1">
      <alignment horizontal="right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3" fillId="5" borderId="1" xfId="0" quotePrefix="1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5" xfId="0" applyNumberFormat="1" applyFont="1" applyFill="1" applyBorder="1" applyAlignment="1">
      <alignment horizontal="center" vertical="center" wrapText="1"/>
    </xf>
    <xf numFmtId="4" fontId="5" fillId="5" borderId="5" xfId="0" applyNumberFormat="1" applyFont="1" applyFill="1" applyBorder="1" applyAlignment="1">
      <alignment horizontal="center" vertical="center" wrapText="1"/>
    </xf>
    <xf numFmtId="4" fontId="5" fillId="5" borderId="5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justify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left" vertical="center" wrapText="1"/>
    </xf>
    <xf numFmtId="168" fontId="5" fillId="5" borderId="1" xfId="0" applyNumberFormat="1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168" fontId="5" fillId="5" borderId="1" xfId="0" applyNumberFormat="1" applyFont="1" applyFill="1" applyBorder="1" applyAlignment="1">
      <alignment horizontal="center" vertical="center"/>
    </xf>
    <xf numFmtId="0" fontId="3" fillId="5" borderId="20" xfId="0" quotePrefix="1" applyFont="1" applyFill="1" applyBorder="1" applyAlignment="1">
      <alignment vertical="center" wrapText="1"/>
    </xf>
    <xf numFmtId="0" fontId="3" fillId="5" borderId="18" xfId="0" quotePrefix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166" fontId="0" fillId="5" borderId="17" xfId="0" applyNumberForma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4" fontId="1" fillId="5" borderId="17" xfId="0" applyNumberFormat="1" applyFont="1" applyFill="1" applyBorder="1" applyAlignment="1">
      <alignment horizontal="center" vertical="center"/>
    </xf>
    <xf numFmtId="4" fontId="1" fillId="5" borderId="12" xfId="0" applyNumberFormat="1" applyFont="1" applyFill="1" applyBorder="1" applyAlignment="1">
      <alignment horizontal="center" vertical="center"/>
    </xf>
    <xf numFmtId="4" fontId="1" fillId="5" borderId="9" xfId="0" applyNumberFormat="1" applyFont="1" applyFill="1" applyBorder="1" applyAlignment="1">
      <alignment horizontal="right" vertical="center" wrapText="1"/>
    </xf>
    <xf numFmtId="4" fontId="1" fillId="5" borderId="5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3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vertical="center"/>
    </xf>
    <xf numFmtId="0" fontId="1" fillId="0" borderId="12" xfId="0" applyFont="1" applyFill="1" applyBorder="1" applyAlignment="1">
      <alignment vertical="center" wrapText="1"/>
    </xf>
    <xf numFmtId="0" fontId="3" fillId="0" borderId="41" xfId="0" applyFont="1" applyBorder="1" applyAlignment="1">
      <alignment horizontal="justify"/>
    </xf>
    <xf numFmtId="0" fontId="3" fillId="0" borderId="41" xfId="0" applyFont="1" applyBorder="1" applyAlignment="1">
      <alignment horizontal="center"/>
    </xf>
    <xf numFmtId="166" fontId="3" fillId="0" borderId="41" xfId="0" applyNumberFormat="1" applyFont="1" applyBorder="1" applyAlignment="1">
      <alignment horizontal="right"/>
    </xf>
    <xf numFmtId="4" fontId="3" fillId="0" borderId="41" xfId="0" applyNumberFormat="1" applyFont="1" applyBorder="1" applyAlignment="1">
      <alignment horizontal="right"/>
    </xf>
    <xf numFmtId="4" fontId="3" fillId="0" borderId="42" xfId="0" applyNumberFormat="1" applyFont="1" applyBorder="1" applyAlignment="1">
      <alignment horizontal="right"/>
    </xf>
    <xf numFmtId="0" fontId="3" fillId="5" borderId="0" xfId="0" applyFont="1" applyFill="1" applyBorder="1" applyAlignment="1">
      <alignment horizontal="center"/>
    </xf>
    <xf numFmtId="0" fontId="25" fillId="5" borderId="0" xfId="22" applyFont="1" applyFill="1" applyBorder="1" applyAlignment="1">
      <alignment horizontal="center" wrapText="1"/>
    </xf>
    <xf numFmtId="165" fontId="26" fillId="5" borderId="0" xfId="51" applyFont="1" applyFill="1" applyBorder="1" applyAlignment="1">
      <alignment horizontal="center" vertical="center"/>
    </xf>
    <xf numFmtId="0" fontId="25" fillId="0" borderId="0" xfId="22" applyFont="1" applyFill="1" applyBorder="1" applyAlignment="1">
      <alignment vertical="top" wrapText="1"/>
    </xf>
    <xf numFmtId="0" fontId="25" fillId="14" borderId="43" xfId="22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" fontId="0" fillId="0" borderId="36" xfId="0" applyNumberFormat="1" applyBorder="1" applyAlignment="1">
      <alignment vertical="center"/>
    </xf>
    <xf numFmtId="4" fontId="0" fillId="0" borderId="37" xfId="0" applyNumberFormat="1" applyBorder="1" applyAlignment="1">
      <alignment vertical="center"/>
    </xf>
    <xf numFmtId="0" fontId="1" fillId="0" borderId="36" xfId="0" applyFont="1" applyBorder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4" fontId="3" fillId="5" borderId="5" xfId="0" applyNumberFormat="1" applyFont="1" applyFill="1" applyBorder="1" applyAlignment="1">
      <alignment vertical="center"/>
    </xf>
    <xf numFmtId="4" fontId="3" fillId="5" borderId="32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center" vertical="center"/>
    </xf>
    <xf numFmtId="0" fontId="0" fillId="0" borderId="44" xfId="0" applyBorder="1"/>
    <xf numFmtId="0" fontId="0" fillId="0" borderId="45" xfId="0" applyBorder="1"/>
    <xf numFmtId="0" fontId="0" fillId="0" borderId="30" xfId="0" applyBorder="1"/>
    <xf numFmtId="0" fontId="0" fillId="0" borderId="46" xfId="0" applyBorder="1"/>
    <xf numFmtId="0" fontId="0" fillId="0" borderId="24" xfId="0" applyBorder="1"/>
    <xf numFmtId="0" fontId="0" fillId="0" borderId="21" xfId="0" applyBorder="1"/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0" fontId="0" fillId="5" borderId="0" xfId="0" applyFill="1" applyBorder="1"/>
    <xf numFmtId="0" fontId="3" fillId="0" borderId="47" xfId="0" applyFont="1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3" fillId="11" borderId="42" xfId="25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3" fillId="0" borderId="42" xfId="0" applyFont="1" applyBorder="1" applyAlignment="1">
      <alignment horizontal="justify"/>
    </xf>
    <xf numFmtId="0" fontId="3" fillId="0" borderId="6" xfId="0" applyFont="1" applyBorder="1" applyAlignment="1">
      <alignment horizontal="justify"/>
    </xf>
    <xf numFmtId="0" fontId="27" fillId="13" borderId="50" xfId="22" applyFont="1" applyFill="1" applyBorder="1" applyAlignment="1">
      <alignment horizontal="center" vertical="center" wrapText="1"/>
    </xf>
    <xf numFmtId="0" fontId="3" fillId="11" borderId="35" xfId="25" applyFont="1" applyFill="1" applyBorder="1" applyAlignment="1">
      <alignment horizontal="center" vertical="center"/>
    </xf>
    <xf numFmtId="0" fontId="0" fillId="5" borderId="25" xfId="0" applyFill="1" applyBorder="1"/>
    <xf numFmtId="0" fontId="0" fillId="5" borderId="13" xfId="0" applyFill="1" applyBorder="1"/>
    <xf numFmtId="0" fontId="3" fillId="5" borderId="13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vertical="center"/>
    </xf>
    <xf numFmtId="0" fontId="27" fillId="5" borderId="13" xfId="22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left" vertical="center" wrapText="1"/>
    </xf>
    <xf numFmtId="0" fontId="0" fillId="5" borderId="27" xfId="0" applyFill="1" applyBorder="1"/>
    <xf numFmtId="0" fontId="1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0" fontId="3" fillId="5" borderId="10" xfId="0" applyNumberFormat="1" applyFont="1" applyFill="1" applyBorder="1" applyAlignment="1">
      <alignment horizontal="right" vertical="center"/>
    </xf>
    <xf numFmtId="10" fontId="3" fillId="5" borderId="18" xfId="0" applyNumberFormat="1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right" vertical="center" wrapText="1"/>
    </xf>
    <xf numFmtId="0" fontId="3" fillId="5" borderId="20" xfId="0" applyFont="1" applyFill="1" applyBorder="1" applyAlignment="1">
      <alignment horizontal="right" vertical="center" wrapText="1"/>
    </xf>
    <xf numFmtId="0" fontId="3" fillId="5" borderId="20" xfId="0" quotePrefix="1" applyFont="1" applyFill="1" applyBorder="1" applyAlignment="1">
      <alignment horizontal="center" vertical="center" wrapText="1"/>
    </xf>
    <xf numFmtId="0" fontId="3" fillId="5" borderId="18" xfId="0" quotePrefix="1" applyFont="1" applyFill="1" applyBorder="1" applyAlignment="1">
      <alignment horizontal="center" vertical="center" wrapText="1"/>
    </xf>
    <xf numFmtId="0" fontId="3" fillId="5" borderId="10" xfId="0" quotePrefix="1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right" vertical="center" wrapText="1"/>
    </xf>
    <xf numFmtId="0" fontId="3" fillId="5" borderId="17" xfId="0" applyFont="1" applyFill="1" applyBorder="1" applyAlignment="1">
      <alignment horizontal="right" vertical="center" wrapText="1"/>
    </xf>
    <xf numFmtId="0" fontId="3" fillId="5" borderId="9" xfId="0" applyFont="1" applyFill="1" applyBorder="1" applyAlignment="1">
      <alignment horizontal="right" vertical="center" wrapText="1"/>
    </xf>
    <xf numFmtId="0" fontId="7" fillId="5" borderId="12" xfId="0" applyFont="1" applyFill="1" applyBorder="1" applyAlignment="1">
      <alignment horizontal="right"/>
    </xf>
    <xf numFmtId="0" fontId="7" fillId="5" borderId="17" xfId="0" applyFont="1" applyFill="1" applyBorder="1" applyAlignment="1">
      <alignment horizontal="right"/>
    </xf>
    <xf numFmtId="0" fontId="7" fillId="5" borderId="31" xfId="0" applyFont="1" applyFill="1" applyBorder="1" applyAlignment="1">
      <alignment horizontal="right"/>
    </xf>
    <xf numFmtId="0" fontId="3" fillId="5" borderId="10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left" vertical="center"/>
    </xf>
    <xf numFmtId="0" fontId="0" fillId="0" borderId="12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9" xfId="0" applyBorder="1" applyAlignment="1">
      <alignment wrapText="1"/>
    </xf>
    <xf numFmtId="0" fontId="5" fillId="5" borderId="10" xfId="0" applyFont="1" applyFill="1" applyBorder="1" applyAlignment="1">
      <alignment vertical="center"/>
    </xf>
    <xf numFmtId="0" fontId="5" fillId="5" borderId="20" xfId="0" applyFont="1" applyFill="1" applyBorder="1" applyAlignment="1">
      <alignment vertical="center"/>
    </xf>
    <xf numFmtId="0" fontId="5" fillId="5" borderId="18" xfId="0" applyFont="1" applyFill="1" applyBorder="1" applyAlignment="1">
      <alignment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4" fontId="7" fillId="5" borderId="12" xfId="0" applyNumberFormat="1" applyFont="1" applyFill="1" applyBorder="1" applyAlignment="1">
      <alignment horizontal="center" vertical="center" wrapText="1"/>
    </xf>
    <xf numFmtId="4" fontId="7" fillId="5" borderId="17" xfId="0" applyNumberFormat="1" applyFont="1" applyFill="1" applyBorder="1" applyAlignment="1">
      <alignment horizontal="center" vertical="center" wrapText="1"/>
    </xf>
    <xf numFmtId="4" fontId="7" fillId="5" borderId="9" xfId="0" applyNumberFormat="1" applyFont="1" applyFill="1" applyBorder="1" applyAlignment="1">
      <alignment horizontal="center" vertical="center" wrapText="1"/>
    </xf>
    <xf numFmtId="4" fontId="7" fillId="5" borderId="8" xfId="0" applyNumberFormat="1" applyFont="1" applyFill="1" applyBorder="1" applyAlignment="1">
      <alignment horizontal="center"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4" fontId="7" fillId="5" borderId="24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/>
    </xf>
    <xf numFmtId="10" fontId="3" fillId="0" borderId="0" xfId="44" applyNumberFormat="1" applyFont="1" applyBorder="1" applyAlignment="1">
      <alignment horizontal="center" vertical="center" wrapText="1"/>
    </xf>
    <xf numFmtId="168" fontId="7" fillId="5" borderId="1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right" vertical="center" wrapText="1"/>
    </xf>
    <xf numFmtId="0" fontId="7" fillId="5" borderId="39" xfId="0" applyFont="1" applyFill="1" applyBorder="1" applyAlignment="1">
      <alignment horizontal="right" vertical="center" wrapText="1"/>
    </xf>
    <xf numFmtId="0" fontId="17" fillId="8" borderId="0" xfId="24" applyFont="1" applyFill="1" applyBorder="1"/>
    <xf numFmtId="10" fontId="11" fillId="8" borderId="0" xfId="0" applyNumberFormat="1" applyFont="1" applyFill="1" applyBorder="1" applyAlignment="1">
      <alignment horizontal="center" vertical="center"/>
    </xf>
    <xf numFmtId="14" fontId="7" fillId="7" borderId="0" xfId="0" applyNumberFormat="1" applyFont="1" applyFill="1" applyBorder="1" applyAlignment="1">
      <alignment horizontal="center" vertical="center" wrapText="1"/>
    </xf>
    <xf numFmtId="0" fontId="17" fillId="0" borderId="0" xfId="24" applyFont="1" applyBorder="1"/>
    <xf numFmtId="4" fontId="7" fillId="7" borderId="0" xfId="0" applyNumberFormat="1" applyFont="1" applyFill="1" applyBorder="1" applyAlignment="1">
      <alignment horizontal="center" vertical="center" wrapText="1"/>
    </xf>
    <xf numFmtId="10" fontId="11" fillId="7" borderId="6" xfId="0" applyNumberFormat="1" applyFont="1" applyFill="1" applyBorder="1" applyAlignment="1">
      <alignment horizontal="center" vertical="center"/>
    </xf>
    <xf numFmtId="10" fontId="11" fillId="7" borderId="0" xfId="0" applyNumberFormat="1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left" wrapText="1"/>
    </xf>
    <xf numFmtId="0" fontId="1" fillId="5" borderId="20" xfId="0" applyFont="1" applyFill="1" applyBorder="1" applyAlignment="1">
      <alignment horizontal="left" wrapText="1"/>
    </xf>
    <xf numFmtId="0" fontId="1" fillId="5" borderId="18" xfId="0" applyFont="1" applyFill="1" applyBorder="1" applyAlignment="1">
      <alignment horizontal="left" wrapText="1"/>
    </xf>
    <xf numFmtId="0" fontId="0" fillId="5" borderId="10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10" xfId="0" applyFill="1" applyBorder="1" applyAlignment="1">
      <alignment vertical="center"/>
    </xf>
    <xf numFmtId="0" fontId="0" fillId="5" borderId="20" xfId="0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0" fontId="11" fillId="0" borderId="1" xfId="34" applyNumberFormat="1" applyFont="1" applyBorder="1" applyAlignment="1">
      <alignment horizontal="center" vertical="center"/>
    </xf>
    <xf numFmtId="165" fontId="11" fillId="5" borderId="1" xfId="34" applyNumberFormat="1" applyFont="1" applyFill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5" fontId="11" fillId="0" borderId="1" xfId="34" applyNumberFormat="1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0" fontId="11" fillId="0" borderId="5" xfId="34" applyNumberFormat="1" applyFont="1" applyBorder="1" applyAlignment="1">
      <alignment horizontal="center" vertical="center"/>
    </xf>
    <xf numFmtId="165" fontId="11" fillId="5" borderId="5" xfId="34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4" xfId="0" applyBorder="1" applyAlignment="1">
      <alignment wrapText="1"/>
    </xf>
    <xf numFmtId="4" fontId="13" fillId="0" borderId="13" xfId="0" applyNumberFormat="1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0" fontId="13" fillId="0" borderId="1" xfId="0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0" fontId="11" fillId="0" borderId="5" xfId="34" applyNumberFormat="1" applyFont="1" applyFill="1" applyBorder="1" applyAlignment="1">
      <alignment horizontal="center"/>
    </xf>
    <xf numFmtId="10" fontId="11" fillId="0" borderId="4" xfId="34" applyNumberFormat="1" applyFont="1" applyFill="1" applyBorder="1" applyAlignment="1">
      <alignment horizontal="center"/>
    </xf>
    <xf numFmtId="10" fontId="11" fillId="0" borderId="7" xfId="34" applyNumberFormat="1" applyFont="1" applyFill="1" applyBorder="1" applyAlignment="1">
      <alignment horizontal="center"/>
    </xf>
    <xf numFmtId="165" fontId="11" fillId="0" borderId="5" xfId="34" applyNumberFormat="1" applyFont="1" applyFill="1" applyBorder="1" applyAlignment="1">
      <alignment horizontal="center" vertical="center"/>
    </xf>
    <xf numFmtId="165" fontId="11" fillId="0" borderId="4" xfId="34" applyNumberFormat="1" applyFont="1" applyFill="1" applyBorder="1" applyAlignment="1">
      <alignment horizontal="center" vertical="center"/>
    </xf>
    <xf numFmtId="165" fontId="11" fillId="0" borderId="7" xfId="34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0" fontId="11" fillId="0" borderId="4" xfId="34" applyNumberFormat="1" applyFont="1" applyBorder="1" applyAlignment="1">
      <alignment horizontal="center" vertical="center"/>
    </xf>
    <xf numFmtId="10" fontId="11" fillId="0" borderId="22" xfId="34" applyNumberFormat="1" applyFont="1" applyBorder="1" applyAlignment="1">
      <alignment horizontal="center" vertical="center"/>
    </xf>
    <xf numFmtId="165" fontId="11" fillId="0" borderId="22" xfId="34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5" fontId="11" fillId="0" borderId="5" xfId="50" applyFont="1" applyFill="1" applyBorder="1" applyAlignment="1">
      <alignment horizontal="center"/>
    </xf>
    <xf numFmtId="165" fontId="11" fillId="0" borderId="4" xfId="50" applyFont="1" applyFill="1" applyBorder="1" applyAlignment="1">
      <alignment horizontal="center"/>
    </xf>
    <xf numFmtId="165" fontId="11" fillId="0" borderId="7" xfId="5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0" fontId="11" fillId="0" borderId="4" xfId="34" applyNumberFormat="1" applyFont="1" applyBorder="1" applyAlignment="1">
      <alignment horizontal="center"/>
    </xf>
    <xf numFmtId="10" fontId="11" fillId="0" borderId="7" xfId="34" applyNumberFormat="1" applyFont="1" applyBorder="1" applyAlignment="1">
      <alignment horizontal="center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0" fontId="3" fillId="10" borderId="28" xfId="0" applyFont="1" applyFill="1" applyBorder="1" applyAlignment="1">
      <alignment horizontal="left" vertical="center" wrapText="1"/>
    </xf>
    <xf numFmtId="0" fontId="3" fillId="10" borderId="40" xfId="0" applyFont="1" applyFill="1" applyBorder="1" applyAlignment="1">
      <alignment horizontal="left" vertical="center" wrapText="1"/>
    </xf>
    <xf numFmtId="0" fontId="3" fillId="10" borderId="47" xfId="0" applyFont="1" applyFill="1" applyBorder="1" applyAlignment="1">
      <alignment horizontal="left" vertical="center" wrapText="1"/>
    </xf>
    <xf numFmtId="0" fontId="26" fillId="14" borderId="28" xfId="22" applyFont="1" applyFill="1" applyBorder="1" applyAlignment="1">
      <alignment horizontal="center" vertical="center" wrapText="1"/>
    </xf>
    <xf numFmtId="0" fontId="26" fillId="14" borderId="47" xfId="22" applyFont="1" applyFill="1" applyBorder="1" applyAlignment="1">
      <alignment horizontal="center" vertical="center" wrapText="1"/>
    </xf>
    <xf numFmtId="0" fontId="26" fillId="14" borderId="25" xfId="22" applyFont="1" applyFill="1" applyBorder="1" applyAlignment="1">
      <alignment horizontal="center" vertical="center" wrapText="1"/>
    </xf>
    <xf numFmtId="0" fontId="26" fillId="14" borderId="46" xfId="22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49" xfId="0" applyFont="1" applyBorder="1" applyAlignment="1">
      <alignment horizontal="center"/>
    </xf>
  </cellXfs>
  <cellStyles count="64">
    <cellStyle name="Cancel" xfId="1"/>
    <cellStyle name="Cancel 2" xfId="2"/>
    <cellStyle name="Excel Built-in Normal" xfId="3"/>
    <cellStyle name="Hiperlink 2" xfId="4"/>
    <cellStyle name="Hiperlink 3" xfId="5"/>
    <cellStyle name="Moeda 2" xfId="6"/>
    <cellStyle name="Moeda 2 2" xfId="7"/>
    <cellStyle name="Moeda 2 2 2" xfId="8"/>
    <cellStyle name="Moeda 2 3" xfId="9"/>
    <cellStyle name="Moeda 3" xfId="10"/>
    <cellStyle name="Moeda 3 2" xfId="11"/>
    <cellStyle name="Moeda 3 2 2" xfId="12"/>
    <cellStyle name="Moeda 3 2 3" xfId="13"/>
    <cellStyle name="Moeda 3 3" xfId="14"/>
    <cellStyle name="Moeda 4" xfId="15"/>
    <cellStyle name="Moeda 4 2" xfId="16"/>
    <cellStyle name="Moeda 5" xfId="17"/>
    <cellStyle name="Moeda 6" xfId="18"/>
    <cellStyle name="Moeda 7" xfId="19"/>
    <cellStyle name="Moeda 8" xfId="20"/>
    <cellStyle name="Normal" xfId="0" builtinId="0"/>
    <cellStyle name="Normal 2" xfId="21"/>
    <cellStyle name="Normal 2 2" xfId="22"/>
    <cellStyle name="Normal 2 2 2" xfId="23"/>
    <cellStyle name="Normal 2 2 2 2" xfId="24"/>
    <cellStyle name="Normal 2 2 3" xfId="25"/>
    <cellStyle name="Normal 2 3" xfId="26"/>
    <cellStyle name="Normal 2 4" xfId="27"/>
    <cellStyle name="Normal 2 5" xfId="28"/>
    <cellStyle name="Normal 3" xfId="29"/>
    <cellStyle name="Normal 3 2" xfId="30"/>
    <cellStyle name="Normal 4" xfId="31"/>
    <cellStyle name="Normal 5" xfId="32"/>
    <cellStyle name="Normal 6" xfId="33"/>
    <cellStyle name="Porcentagem 2" xfId="34"/>
    <cellStyle name="Porcentagem 2 2" xfId="35"/>
    <cellStyle name="Porcentagem 2 3" xfId="36"/>
    <cellStyle name="Porcentagem 2 4" xfId="37"/>
    <cellStyle name="Porcentagem 3" xfId="38"/>
    <cellStyle name="Porcentagem 3 2" xfId="39"/>
    <cellStyle name="Porcentagem 3 2 2" xfId="40"/>
    <cellStyle name="Porcentagem 3 3" xfId="41"/>
    <cellStyle name="Porcentagem 4" xfId="42"/>
    <cellStyle name="Porcentagem 5" xfId="43"/>
    <cellStyle name="Separador de milhares" xfId="44" builtinId="3"/>
    <cellStyle name="Separador de milhares 2" xfId="45"/>
    <cellStyle name="Separador de milhares 2 2" xfId="46"/>
    <cellStyle name="Separador de milhares 2 3" xfId="47"/>
    <cellStyle name="Separador de milhares 2 4" xfId="48"/>
    <cellStyle name="Separador de milhares 3" xfId="49"/>
    <cellStyle name="Vírgula 2" xfId="50"/>
    <cellStyle name="Vírgula 2 2" xfId="51"/>
    <cellStyle name="Vírgula 2 2 2" xfId="52"/>
    <cellStyle name="Vírgula 2 3" xfId="53"/>
    <cellStyle name="Vírgula 3" xfId="54"/>
    <cellStyle name="Vírgula 3 2" xfId="55"/>
    <cellStyle name="Vírgula 3 2 2" xfId="56"/>
    <cellStyle name="Vírgula 3 3" xfId="57"/>
    <cellStyle name="Vírgula 4" xfId="58"/>
    <cellStyle name="Vírgula 4 2" xfId="59"/>
    <cellStyle name="Vírgula 4 2 2" xfId="60"/>
    <cellStyle name="Vírgula 4 3" xfId="61"/>
    <cellStyle name="Vírgula 5" xfId="62"/>
    <cellStyle name="Vírgula 6" xfId="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33868</xdr:colOff>
      <xdr:row>2</xdr:row>
      <xdr:rowOff>54250</xdr:rowOff>
    </xdr:from>
    <xdr:to>
      <xdr:col>2</xdr:col>
      <xdr:colOff>1081618</xdr:colOff>
      <xdr:row>7</xdr:row>
      <xdr:rowOff>97914</xdr:rowOff>
    </xdr:to>
    <xdr:pic>
      <xdr:nvPicPr>
        <xdr:cNvPr id="3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79401" y="172783"/>
          <a:ext cx="1547283" cy="14321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1</xdr:row>
      <xdr:rowOff>30480</xdr:rowOff>
    </xdr:from>
    <xdr:to>
      <xdr:col>2</xdr:col>
      <xdr:colOff>774897</xdr:colOff>
      <xdr:row>6</xdr:row>
      <xdr:rowOff>243840</xdr:rowOff>
    </xdr:to>
    <xdr:pic>
      <xdr:nvPicPr>
        <xdr:cNvPr id="3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52400" y="76200"/>
          <a:ext cx="1651197" cy="1516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27</xdr:row>
      <xdr:rowOff>0</xdr:rowOff>
    </xdr:from>
    <xdr:to>
      <xdr:col>3</xdr:col>
      <xdr:colOff>152400</xdr:colOff>
      <xdr:row>28</xdr:row>
      <xdr:rowOff>91440</xdr:rowOff>
    </xdr:to>
    <xdr:sp macro="" textlink="">
      <xdr:nvSpPr>
        <xdr:cNvPr id="2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23348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152400</xdr:colOff>
      <xdr:row>28</xdr:row>
      <xdr:rowOff>91440</xdr:rowOff>
    </xdr:to>
    <xdr:sp macro="" textlink="">
      <xdr:nvSpPr>
        <xdr:cNvPr id="3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41827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152400</xdr:colOff>
      <xdr:row>28</xdr:row>
      <xdr:rowOff>91440</xdr:rowOff>
    </xdr:to>
    <xdr:sp macro="" textlink="">
      <xdr:nvSpPr>
        <xdr:cNvPr id="4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318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152400</xdr:colOff>
      <xdr:row>28</xdr:row>
      <xdr:rowOff>91440</xdr:rowOff>
    </xdr:to>
    <xdr:sp macro="" textlink="">
      <xdr:nvSpPr>
        <xdr:cNvPr id="5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250317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152400</xdr:colOff>
      <xdr:row>28</xdr:row>
      <xdr:rowOff>91440</xdr:rowOff>
    </xdr:to>
    <xdr:sp macro="" textlink="">
      <xdr:nvSpPr>
        <xdr:cNvPr id="6" name="AutoShape 15" descr="http://187.17.2.135/orse/imagens/insumo.gif"/>
        <xdr:cNvSpPr>
          <a:spLocks noChangeAspect="1" noChangeArrowheads="1"/>
        </xdr:cNvSpPr>
      </xdr:nvSpPr>
      <xdr:spPr bwMode="auto">
        <a:xfrm>
          <a:off x="2114550" y="172497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152400</xdr:colOff>
      <xdr:row>28</xdr:row>
      <xdr:rowOff>91440</xdr:rowOff>
    </xdr:to>
    <xdr:sp macro="" textlink="">
      <xdr:nvSpPr>
        <xdr:cNvPr id="7" name="AutoShape 15" descr="http://187.17.2.135/orse/imagens/insumo.gif"/>
        <xdr:cNvSpPr>
          <a:spLocks noChangeAspect="1" noChangeArrowheads="1"/>
        </xdr:cNvSpPr>
      </xdr:nvSpPr>
      <xdr:spPr bwMode="auto">
        <a:xfrm>
          <a:off x="2114550" y="215646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152400</xdr:colOff>
      <xdr:row>28</xdr:row>
      <xdr:rowOff>91440</xdr:rowOff>
    </xdr:to>
    <xdr:sp macro="" textlink="">
      <xdr:nvSpPr>
        <xdr:cNvPr id="8" name="AutoShape 15" descr="http://187.17.2.135/orse/imagens/insumo.gif"/>
        <xdr:cNvSpPr>
          <a:spLocks noChangeAspect="1" noChangeArrowheads="1"/>
        </xdr:cNvSpPr>
      </xdr:nvSpPr>
      <xdr:spPr bwMode="auto">
        <a:xfrm>
          <a:off x="2114550" y="491109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152400</xdr:colOff>
      <xdr:row>28</xdr:row>
      <xdr:rowOff>91440</xdr:rowOff>
    </xdr:to>
    <xdr:sp macro="" textlink="">
      <xdr:nvSpPr>
        <xdr:cNvPr id="9" name="AutoShape 15" descr="http://187.17.2.135/orse/imagens/insumo.gif"/>
        <xdr:cNvSpPr>
          <a:spLocks noChangeAspect="1" noChangeArrowheads="1"/>
        </xdr:cNvSpPr>
      </xdr:nvSpPr>
      <xdr:spPr bwMode="auto">
        <a:xfrm>
          <a:off x="2114550" y="491775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8"/>
  <sheetViews>
    <sheetView view="pageBreakPreview" topLeftCell="A47" zoomScale="90" zoomScaleSheetLayoutView="90" workbookViewId="0">
      <selection activeCell="E94" sqref="E94"/>
    </sheetView>
  </sheetViews>
  <sheetFormatPr defaultRowHeight="13.2"/>
  <cols>
    <col min="1" max="1" width="4.109375" customWidth="1"/>
    <col min="2" max="2" width="7.33203125" customWidth="1"/>
    <col min="3" max="3" width="68.33203125" customWidth="1"/>
    <col min="4" max="4" width="5.88671875" style="3" customWidth="1"/>
    <col min="5" max="5" width="12.88671875" style="4" customWidth="1"/>
    <col min="6" max="6" width="9.109375" style="4" bestFit="1" customWidth="1"/>
    <col min="7" max="7" width="10" style="5" customWidth="1"/>
    <col min="8" max="8" width="10.88671875" customWidth="1"/>
    <col min="9" max="9" width="14.88671875" customWidth="1"/>
    <col min="10" max="10" width="8.33203125" hidden="1" customWidth="1"/>
    <col min="11" max="11" width="12.109375" hidden="1" customWidth="1"/>
    <col min="12" max="12" width="12.109375" customWidth="1"/>
    <col min="13" max="13" width="22.44140625" customWidth="1"/>
    <col min="14" max="14" width="10.109375" style="8" bestFit="1" customWidth="1"/>
    <col min="15" max="15" width="11.5546875" bestFit="1" customWidth="1"/>
  </cols>
  <sheetData>
    <row r="1" spans="2:17" ht="5.25" customHeight="1"/>
    <row r="2" spans="2:17" s="1" customFormat="1" ht="5.25" customHeight="1">
      <c r="B2" s="287"/>
      <c r="C2" s="288"/>
      <c r="D2" s="288"/>
      <c r="E2" s="288"/>
      <c r="F2" s="288"/>
      <c r="G2" s="288"/>
      <c r="H2" s="288"/>
      <c r="I2" s="289"/>
      <c r="J2" s="90"/>
      <c r="K2" s="90"/>
      <c r="L2" s="54"/>
      <c r="N2" s="6"/>
    </row>
    <row r="3" spans="2:17" s="1" customFormat="1" ht="20.25" customHeight="1">
      <c r="B3" s="308" t="s">
        <v>69</v>
      </c>
      <c r="C3" s="309"/>
      <c r="D3" s="309"/>
      <c r="E3" s="309"/>
      <c r="F3" s="309"/>
      <c r="G3" s="309"/>
      <c r="H3" s="309"/>
      <c r="I3" s="310"/>
      <c r="J3" s="87"/>
      <c r="K3" s="87"/>
      <c r="L3" s="73"/>
      <c r="N3" s="6"/>
    </row>
    <row r="4" spans="2:17" s="1" customFormat="1" ht="2.25" customHeight="1">
      <c r="B4" s="174"/>
      <c r="C4" s="87"/>
      <c r="D4" s="87"/>
      <c r="E4" s="87"/>
      <c r="F4" s="87"/>
      <c r="G4" s="87"/>
      <c r="H4" s="87"/>
      <c r="I4" s="175"/>
      <c r="J4" s="87"/>
      <c r="K4" s="87"/>
      <c r="L4" s="73"/>
      <c r="N4" s="6"/>
    </row>
    <row r="5" spans="2:17" s="1" customFormat="1" ht="25.2" customHeight="1">
      <c r="B5" s="302" t="s">
        <v>199</v>
      </c>
      <c r="C5" s="303"/>
      <c r="D5" s="303"/>
      <c r="E5" s="303"/>
      <c r="F5" s="303"/>
      <c r="G5" s="303"/>
      <c r="H5" s="303"/>
      <c r="I5" s="304"/>
      <c r="J5" s="88"/>
      <c r="K5" s="88"/>
      <c r="L5" s="73"/>
      <c r="N5" s="6"/>
    </row>
    <row r="6" spans="2:17" s="1" customFormat="1" ht="37.5" customHeight="1">
      <c r="B6" s="305" t="s">
        <v>195</v>
      </c>
      <c r="C6" s="306"/>
      <c r="D6" s="306"/>
      <c r="E6" s="306"/>
      <c r="F6" s="306"/>
      <c r="G6" s="306"/>
      <c r="H6" s="306"/>
      <c r="I6" s="307"/>
      <c r="J6" s="89"/>
      <c r="K6" s="89"/>
      <c r="L6" s="9"/>
      <c r="N6" s="6"/>
    </row>
    <row r="7" spans="2:17" s="1" customFormat="1" ht="24.75" customHeight="1">
      <c r="B7" s="305" t="s">
        <v>85</v>
      </c>
      <c r="C7" s="306"/>
      <c r="D7" s="306"/>
      <c r="E7" s="306"/>
      <c r="F7" s="306"/>
      <c r="G7" s="306"/>
      <c r="H7" s="311" t="s">
        <v>68</v>
      </c>
      <c r="I7" s="312"/>
      <c r="J7" s="314" t="s">
        <v>68</v>
      </c>
      <c r="K7" s="314"/>
      <c r="L7" s="73"/>
      <c r="N7" s="6"/>
    </row>
    <row r="8" spans="2:17" s="1" customFormat="1" ht="15" customHeight="1">
      <c r="B8" s="319" t="s">
        <v>206</v>
      </c>
      <c r="C8" s="320"/>
      <c r="D8" s="320"/>
      <c r="E8" s="320"/>
      <c r="F8" s="320"/>
      <c r="G8" s="320"/>
      <c r="H8" s="320"/>
      <c r="I8" s="321"/>
      <c r="J8" s="314" t="s">
        <v>68</v>
      </c>
      <c r="K8" s="314"/>
      <c r="L8" s="73"/>
      <c r="N8" s="6"/>
    </row>
    <row r="9" spans="2:17" s="1" customFormat="1" ht="16.2" thickBot="1">
      <c r="B9" s="323" t="s">
        <v>205</v>
      </c>
      <c r="C9" s="324"/>
      <c r="D9" s="324"/>
      <c r="E9" s="324"/>
      <c r="F9" s="324"/>
      <c r="G9" s="324"/>
      <c r="H9" s="325" t="s">
        <v>207</v>
      </c>
      <c r="I9" s="326"/>
      <c r="J9" s="322" t="s">
        <v>45</v>
      </c>
      <c r="K9" s="322"/>
      <c r="L9" s="147"/>
      <c r="N9" s="6"/>
    </row>
    <row r="10" spans="2:17" s="1" customFormat="1" ht="15" customHeight="1" thickTop="1">
      <c r="B10" s="293" t="s">
        <v>0</v>
      </c>
      <c r="C10" s="313" t="s">
        <v>1</v>
      </c>
      <c r="D10" s="313" t="s">
        <v>2</v>
      </c>
      <c r="E10" s="316" t="s">
        <v>46</v>
      </c>
      <c r="F10" s="315" t="s">
        <v>32</v>
      </c>
      <c r="G10" s="296" t="s">
        <v>31</v>
      </c>
      <c r="H10" s="297"/>
      <c r="I10" s="298"/>
      <c r="J10" s="329">
        <v>42933</v>
      </c>
      <c r="K10" s="329"/>
      <c r="L10" s="148"/>
      <c r="N10" s="6"/>
    </row>
    <row r="11" spans="2:17" s="1" customFormat="1" ht="15" customHeight="1">
      <c r="B11" s="294"/>
      <c r="C11" s="313"/>
      <c r="D11" s="313"/>
      <c r="E11" s="317"/>
      <c r="F11" s="315"/>
      <c r="G11" s="299"/>
      <c r="H11" s="300"/>
      <c r="I11" s="301"/>
      <c r="J11" s="331" t="s">
        <v>42</v>
      </c>
      <c r="K11" s="331"/>
      <c r="L11" s="148"/>
      <c r="N11" s="6"/>
    </row>
    <row r="12" spans="2:17" s="2" customFormat="1" ht="12.75" customHeight="1">
      <c r="B12" s="295"/>
      <c r="C12" s="313"/>
      <c r="D12" s="313"/>
      <c r="E12" s="318"/>
      <c r="F12" s="315"/>
      <c r="G12" s="53" t="s">
        <v>3</v>
      </c>
      <c r="H12" s="53" t="s">
        <v>28</v>
      </c>
      <c r="I12" s="53" t="s">
        <v>29</v>
      </c>
      <c r="J12" s="91" t="s">
        <v>8</v>
      </c>
      <c r="K12" s="92" t="s">
        <v>43</v>
      </c>
      <c r="L12" s="149"/>
      <c r="M12" s="7"/>
      <c r="N12" s="7"/>
    </row>
    <row r="13" spans="2:17" s="1" customFormat="1" ht="15" hidden="1" customHeight="1">
      <c r="B13" s="107"/>
      <c r="C13" s="15"/>
      <c r="D13" s="153"/>
      <c r="E13" s="154"/>
      <c r="F13" s="155"/>
      <c r="G13" s="156"/>
      <c r="H13" s="157">
        <v>0.27629999999999999</v>
      </c>
      <c r="I13" s="158"/>
      <c r="J13" s="332" t="s">
        <v>44</v>
      </c>
      <c r="K13" s="333"/>
      <c r="L13" s="150"/>
      <c r="N13" s="330"/>
      <c r="O13" s="330"/>
      <c r="P13" s="330"/>
      <c r="Q13" s="66"/>
    </row>
    <row r="14" spans="2:17" s="74" customFormat="1" ht="15.75" customHeight="1">
      <c r="B14" s="107">
        <v>1</v>
      </c>
      <c r="C14" s="142" t="s">
        <v>4</v>
      </c>
      <c r="D14" s="159"/>
      <c r="E14" s="160"/>
      <c r="F14" s="161"/>
      <c r="G14" s="162"/>
      <c r="H14" s="163"/>
      <c r="I14" s="164"/>
      <c r="J14" s="328" t="s">
        <v>44</v>
      </c>
      <c r="K14" s="328"/>
      <c r="L14" s="150"/>
      <c r="N14" s="327"/>
      <c r="O14" s="327"/>
      <c r="P14" s="327"/>
      <c r="Q14" s="75"/>
    </row>
    <row r="15" spans="2:17" s="77" customFormat="1" ht="18" customHeight="1">
      <c r="B15" s="144" t="s">
        <v>74</v>
      </c>
      <c r="C15" s="193" t="s">
        <v>27</v>
      </c>
      <c r="D15" s="178" t="s">
        <v>48</v>
      </c>
      <c r="E15" s="194" t="s">
        <v>55</v>
      </c>
      <c r="F15" s="62">
        <v>2.5</v>
      </c>
      <c r="G15" s="63">
        <v>313.23</v>
      </c>
      <c r="H15" s="64">
        <f>TRUNC(G15*(1+$H$13),2)</f>
        <v>399.77</v>
      </c>
      <c r="I15" s="64">
        <f t="shared" ref="I15:I16" si="0">TRUNC(H15*F15,2)</f>
        <v>999.42</v>
      </c>
      <c r="J15" s="95">
        <v>0</v>
      </c>
      <c r="K15" s="96" t="e">
        <f>(J15*#REF!)</f>
        <v>#REF!</v>
      </c>
      <c r="L15" s="152"/>
      <c r="N15" s="327"/>
      <c r="O15" s="327"/>
      <c r="P15" s="327"/>
      <c r="Q15" s="78"/>
    </row>
    <row r="16" spans="2:17" s="77" customFormat="1" ht="34.5" customHeight="1">
      <c r="B16" s="144" t="s">
        <v>100</v>
      </c>
      <c r="C16" s="193" t="s">
        <v>56</v>
      </c>
      <c r="D16" s="178" t="s">
        <v>48</v>
      </c>
      <c r="E16" s="199">
        <v>93584</v>
      </c>
      <c r="F16" s="62">
        <v>6</v>
      </c>
      <c r="G16" s="63">
        <v>465.17</v>
      </c>
      <c r="H16" s="64">
        <f>TRUNC(G16*(1+$H$13),2)</f>
        <v>593.69000000000005</v>
      </c>
      <c r="I16" s="64">
        <f t="shared" si="0"/>
        <v>3562.14</v>
      </c>
      <c r="J16" s="95">
        <v>1</v>
      </c>
      <c r="K16" s="96" t="e">
        <f>(J16*#REF!)</f>
        <v>#REF!</v>
      </c>
      <c r="L16" s="67"/>
      <c r="N16" s="79"/>
    </row>
    <row r="17" spans="2:14" s="77" customFormat="1" ht="34.5" customHeight="1">
      <c r="B17" s="144" t="s">
        <v>108</v>
      </c>
      <c r="C17" s="197" t="s">
        <v>122</v>
      </c>
      <c r="D17" s="178" t="s">
        <v>48</v>
      </c>
      <c r="E17" s="198" t="s">
        <v>121</v>
      </c>
      <c r="F17" s="62">
        <v>26</v>
      </c>
      <c r="G17" s="63">
        <v>4.7699999999999996</v>
      </c>
      <c r="H17" s="64">
        <f>TRUNC(G17*(1+$H$13),2)</f>
        <v>6.08</v>
      </c>
      <c r="I17" s="64">
        <f t="shared" ref="I17" si="1">TRUNC(H17*F17,2)</f>
        <v>158.08000000000001</v>
      </c>
      <c r="J17" s="95">
        <v>1</v>
      </c>
      <c r="K17" s="96" t="e">
        <f>(J17*#REF!)</f>
        <v>#REF!</v>
      </c>
      <c r="L17" s="67"/>
      <c r="N17" s="79"/>
    </row>
    <row r="18" spans="2:14" s="2" customFormat="1" ht="15.75" customHeight="1">
      <c r="B18" s="271" t="s">
        <v>6</v>
      </c>
      <c r="C18" s="272"/>
      <c r="D18" s="272"/>
      <c r="E18" s="272"/>
      <c r="F18" s="272"/>
      <c r="G18" s="269">
        <f>(100%)</f>
        <v>1</v>
      </c>
      <c r="H18" s="270"/>
      <c r="I18" s="108">
        <f>SUM(I15:I17)</f>
        <v>4719.6399999999994</v>
      </c>
      <c r="J18" s="93" t="e">
        <f>(K18/#REF!)</f>
        <v>#REF!</v>
      </c>
      <c r="K18" s="94" t="e">
        <f>SUM(K15:K16)</f>
        <v>#REF!</v>
      </c>
      <c r="L18" s="151"/>
      <c r="N18" s="7"/>
    </row>
    <row r="19" spans="2:14" s="77" customFormat="1" ht="18.75" customHeight="1">
      <c r="B19" s="107">
        <v>2</v>
      </c>
      <c r="C19" s="179" t="s">
        <v>5</v>
      </c>
      <c r="D19" s="290"/>
      <c r="E19" s="291"/>
      <c r="F19" s="291"/>
      <c r="G19" s="291"/>
      <c r="H19" s="291"/>
      <c r="I19" s="292"/>
      <c r="J19" s="76"/>
      <c r="K19" s="76"/>
      <c r="L19" s="80"/>
      <c r="N19" s="79"/>
    </row>
    <row r="20" spans="2:14" s="77" customFormat="1" ht="34.5" customHeight="1">
      <c r="B20" s="177" t="s">
        <v>75</v>
      </c>
      <c r="C20" s="259" t="s">
        <v>203</v>
      </c>
      <c r="D20" s="267" t="s">
        <v>50</v>
      </c>
      <c r="E20" s="268" t="s">
        <v>204</v>
      </c>
      <c r="F20" s="262">
        <v>23.84</v>
      </c>
      <c r="G20" s="263">
        <v>221.25</v>
      </c>
      <c r="H20" s="264">
        <f>TRUNC(G20*(1+$H$13),2)</f>
        <v>282.38</v>
      </c>
      <c r="I20" s="264">
        <f>TRUNC(H20*F20,2)</f>
        <v>6731.93</v>
      </c>
      <c r="J20" s="95">
        <v>0</v>
      </c>
      <c r="K20" s="96" t="e">
        <f>(J20*#REF!)</f>
        <v>#REF!</v>
      </c>
      <c r="L20" s="76"/>
      <c r="N20" s="79"/>
    </row>
    <row r="21" spans="2:14" s="2" customFormat="1" ht="15.75" customHeight="1">
      <c r="B21" s="271" t="s">
        <v>6</v>
      </c>
      <c r="C21" s="272"/>
      <c r="D21" s="272"/>
      <c r="E21" s="272"/>
      <c r="F21" s="272"/>
      <c r="G21" s="269">
        <f>(100%)</f>
        <v>1</v>
      </c>
      <c r="H21" s="270"/>
      <c r="I21" s="108">
        <f>SUM(I20)</f>
        <v>6731.93</v>
      </c>
      <c r="J21" s="93">
        <v>0</v>
      </c>
      <c r="K21" s="94" t="e">
        <f>SUM(K19:K20)</f>
        <v>#REF!</v>
      </c>
      <c r="L21" s="55"/>
      <c r="N21" s="7"/>
    </row>
    <row r="22" spans="2:14" s="77" customFormat="1" ht="16.5" customHeight="1">
      <c r="B22" s="107">
        <v>3</v>
      </c>
      <c r="C22" s="15" t="s">
        <v>34</v>
      </c>
      <c r="D22" s="339"/>
      <c r="E22" s="340"/>
      <c r="F22" s="340"/>
      <c r="G22" s="340"/>
      <c r="H22" s="340"/>
      <c r="I22" s="341"/>
      <c r="J22" s="76"/>
      <c r="K22" s="76"/>
      <c r="L22" s="81"/>
      <c r="N22" s="79"/>
    </row>
    <row r="23" spans="2:14" s="77" customFormat="1" ht="44.25" customHeight="1">
      <c r="B23" s="144" t="s">
        <v>73</v>
      </c>
      <c r="C23" s="143" t="s">
        <v>138</v>
      </c>
      <c r="D23" s="178" t="s">
        <v>50</v>
      </c>
      <c r="E23" s="140">
        <v>94964</v>
      </c>
      <c r="F23" s="62">
        <v>14.8</v>
      </c>
      <c r="G23" s="63">
        <v>303.3</v>
      </c>
      <c r="H23" s="64">
        <f t="shared" ref="H23" si="2">TRUNC(G23*(1+$H$13),2)</f>
        <v>387.1</v>
      </c>
      <c r="I23" s="64">
        <f t="shared" ref="I23" si="3">TRUNC(H23*F23,2)</f>
        <v>5729.08</v>
      </c>
      <c r="J23" s="95">
        <v>0</v>
      </c>
      <c r="K23" s="96" t="e">
        <f>(J23*#REF!)</f>
        <v>#REF!</v>
      </c>
      <c r="L23" s="76"/>
      <c r="N23" s="79"/>
    </row>
    <row r="24" spans="2:14" s="77" customFormat="1" ht="30" customHeight="1">
      <c r="B24" s="144" t="s">
        <v>76</v>
      </c>
      <c r="C24" s="143" t="s">
        <v>57</v>
      </c>
      <c r="D24" s="178" t="s">
        <v>50</v>
      </c>
      <c r="E24" s="140">
        <v>94965</v>
      </c>
      <c r="F24" s="62">
        <v>9.0399999999999991</v>
      </c>
      <c r="G24" s="63">
        <v>315.35000000000002</v>
      </c>
      <c r="H24" s="64">
        <f t="shared" ref="H24:H25" si="4">TRUNC(G24*(1+$H$13),2)</f>
        <v>402.48</v>
      </c>
      <c r="I24" s="64">
        <f t="shared" ref="I24:I26" si="5">TRUNC(H24*F24,2)</f>
        <v>3638.41</v>
      </c>
      <c r="J24" s="95">
        <v>0</v>
      </c>
      <c r="K24" s="96" t="e">
        <f>(J24*#REF!)</f>
        <v>#REF!</v>
      </c>
      <c r="L24" s="76"/>
      <c r="N24" s="79"/>
    </row>
    <row r="25" spans="2:14" s="74" customFormat="1" ht="33.75" customHeight="1">
      <c r="B25" s="144" t="s">
        <v>96</v>
      </c>
      <c r="C25" s="143" t="s">
        <v>123</v>
      </c>
      <c r="D25" s="178" t="s">
        <v>50</v>
      </c>
      <c r="E25" s="140" t="s">
        <v>90</v>
      </c>
      <c r="F25" s="62">
        <f>(F23+F24)</f>
        <v>23.84</v>
      </c>
      <c r="G25" s="63">
        <v>96.64</v>
      </c>
      <c r="H25" s="64">
        <f t="shared" si="4"/>
        <v>123.34</v>
      </c>
      <c r="I25" s="64">
        <f t="shared" si="5"/>
        <v>2940.42</v>
      </c>
      <c r="J25" s="95">
        <v>0</v>
      </c>
      <c r="K25" s="96" t="e">
        <f>(J25*#REF!)</f>
        <v>#REF!</v>
      </c>
      <c r="L25" s="76"/>
      <c r="N25" s="82"/>
    </row>
    <row r="26" spans="2:14" s="74" customFormat="1" ht="41.25" customHeight="1">
      <c r="B26" s="144" t="s">
        <v>101</v>
      </c>
      <c r="C26" s="143" t="s">
        <v>106</v>
      </c>
      <c r="D26" s="178" t="s">
        <v>58</v>
      </c>
      <c r="E26" s="140">
        <v>96545</v>
      </c>
      <c r="F26" s="62">
        <v>141</v>
      </c>
      <c r="G26" s="63">
        <v>10.029999999999999</v>
      </c>
      <c r="H26" s="64">
        <v>10.11</v>
      </c>
      <c r="I26" s="64">
        <f t="shared" si="5"/>
        <v>1425.51</v>
      </c>
      <c r="J26" s="95">
        <v>0</v>
      </c>
      <c r="K26" s="96" t="e">
        <f>(J26*#REF!)</f>
        <v>#REF!</v>
      </c>
      <c r="L26" s="76"/>
      <c r="N26" s="82"/>
    </row>
    <row r="27" spans="2:14" s="74" customFormat="1" ht="44.25" customHeight="1">
      <c r="B27" s="144" t="s">
        <v>102</v>
      </c>
      <c r="C27" s="143" t="s">
        <v>114</v>
      </c>
      <c r="D27" s="178" t="s">
        <v>58</v>
      </c>
      <c r="E27" s="140">
        <v>96547</v>
      </c>
      <c r="F27" s="62">
        <v>192</v>
      </c>
      <c r="G27" s="63">
        <v>7.38</v>
      </c>
      <c r="H27" s="64">
        <f t="shared" ref="H27" si="6">TRUNC(G27*(1+$H$13),2)</f>
        <v>9.41</v>
      </c>
      <c r="I27" s="64">
        <f t="shared" ref="I27" si="7">TRUNC(H27*F27,2)</f>
        <v>1806.72</v>
      </c>
      <c r="J27" s="95"/>
      <c r="K27" s="96"/>
      <c r="L27" s="76"/>
      <c r="N27" s="82"/>
    </row>
    <row r="28" spans="2:14" s="1" customFormat="1" ht="18.75" customHeight="1">
      <c r="B28" s="271" t="s">
        <v>6</v>
      </c>
      <c r="C28" s="272"/>
      <c r="D28" s="272"/>
      <c r="E28" s="272"/>
      <c r="F28" s="272"/>
      <c r="G28" s="269">
        <f>(100%)</f>
        <v>1</v>
      </c>
      <c r="H28" s="270"/>
      <c r="I28" s="108">
        <f>SUM(I23:I27)</f>
        <v>15540.14</v>
      </c>
      <c r="J28" s="93" t="e">
        <f>(K28/#REF!)</f>
        <v>#REF!</v>
      </c>
      <c r="K28" s="94" t="e">
        <f>SUM(K24:K26)</f>
        <v>#REF!</v>
      </c>
      <c r="L28" s="55"/>
      <c r="N28" s="6"/>
    </row>
    <row r="29" spans="2:14" s="77" customFormat="1" ht="17.25" customHeight="1">
      <c r="B29" s="107">
        <v>4</v>
      </c>
      <c r="C29" s="15" t="s">
        <v>33</v>
      </c>
      <c r="D29" s="339"/>
      <c r="E29" s="340"/>
      <c r="F29" s="340"/>
      <c r="G29" s="340"/>
      <c r="H29" s="340"/>
      <c r="I29" s="341"/>
      <c r="J29" s="76"/>
      <c r="K29" s="76"/>
      <c r="L29" s="81"/>
      <c r="N29" s="79"/>
    </row>
    <row r="30" spans="2:14" s="74" customFormat="1" ht="33.75" customHeight="1">
      <c r="B30" s="177" t="s">
        <v>77</v>
      </c>
      <c r="C30" s="143" t="s">
        <v>54</v>
      </c>
      <c r="D30" s="178" t="s">
        <v>50</v>
      </c>
      <c r="E30" s="140">
        <v>94965</v>
      </c>
      <c r="F30" s="62">
        <v>41.02</v>
      </c>
      <c r="G30" s="63">
        <v>315.35000000000002</v>
      </c>
      <c r="H30" s="64">
        <f t="shared" ref="H30:H38" si="8">TRUNC(G30*(1+$H$13),2)</f>
        <v>402.48</v>
      </c>
      <c r="I30" s="64">
        <f t="shared" ref="I30:I38" si="9">TRUNC(H30*F30,2)</f>
        <v>16509.72</v>
      </c>
      <c r="J30" s="95">
        <v>0</v>
      </c>
      <c r="K30" s="96" t="e">
        <f>(J30*#REF!)</f>
        <v>#REF!</v>
      </c>
      <c r="L30" s="76"/>
      <c r="N30" s="82"/>
    </row>
    <row r="31" spans="2:14" s="74" customFormat="1" ht="33.75" customHeight="1">
      <c r="B31" s="177" t="s">
        <v>78</v>
      </c>
      <c r="C31" s="60" t="s">
        <v>91</v>
      </c>
      <c r="D31" s="178" t="s">
        <v>50</v>
      </c>
      <c r="E31" s="140" t="s">
        <v>90</v>
      </c>
      <c r="F31" s="62">
        <v>41.02</v>
      </c>
      <c r="G31" s="63">
        <v>96.64</v>
      </c>
      <c r="H31" s="64">
        <f t="shared" si="8"/>
        <v>123.34</v>
      </c>
      <c r="I31" s="64">
        <f t="shared" si="9"/>
        <v>5059.3999999999996</v>
      </c>
      <c r="J31" s="95">
        <v>0</v>
      </c>
      <c r="K31" s="96" t="e">
        <f>(J31*#REF!)</f>
        <v>#REF!</v>
      </c>
      <c r="L31" s="76"/>
      <c r="N31" s="82"/>
    </row>
    <row r="32" spans="2:14" s="74" customFormat="1" ht="54.75" customHeight="1">
      <c r="B32" s="177" t="s">
        <v>79</v>
      </c>
      <c r="C32" s="60" t="s">
        <v>53</v>
      </c>
      <c r="D32" s="178" t="s">
        <v>48</v>
      </c>
      <c r="E32" s="140">
        <v>92422</v>
      </c>
      <c r="F32" s="62">
        <v>212.43</v>
      </c>
      <c r="G32" s="63">
        <v>49.63</v>
      </c>
      <c r="H32" s="64">
        <f t="shared" si="8"/>
        <v>63.34</v>
      </c>
      <c r="I32" s="64">
        <f t="shared" si="9"/>
        <v>13455.31</v>
      </c>
      <c r="J32" s="95">
        <v>0</v>
      </c>
      <c r="K32" s="96" t="e">
        <f>(J32*#REF!)</f>
        <v>#REF!</v>
      </c>
      <c r="L32" s="76"/>
      <c r="N32" s="82"/>
    </row>
    <row r="33" spans="2:14" s="74" customFormat="1" ht="47.25" customHeight="1">
      <c r="B33" s="177" t="s">
        <v>97</v>
      </c>
      <c r="C33" s="143" t="s">
        <v>124</v>
      </c>
      <c r="D33" s="178" t="s">
        <v>58</v>
      </c>
      <c r="E33" s="140">
        <v>92775</v>
      </c>
      <c r="F33" s="62">
        <v>58</v>
      </c>
      <c r="G33" s="63">
        <v>11.95</v>
      </c>
      <c r="H33" s="64">
        <f t="shared" si="8"/>
        <v>15.25</v>
      </c>
      <c r="I33" s="64">
        <f t="shared" si="9"/>
        <v>884.5</v>
      </c>
      <c r="J33" s="95">
        <v>0</v>
      </c>
      <c r="K33" s="96" t="e">
        <f>(J33*#REF!)</f>
        <v>#REF!</v>
      </c>
      <c r="L33" s="76"/>
      <c r="N33" s="82"/>
    </row>
    <row r="34" spans="2:14" s="74" customFormat="1" ht="48" customHeight="1">
      <c r="B34" s="177" t="s">
        <v>98</v>
      </c>
      <c r="C34" s="143" t="s">
        <v>125</v>
      </c>
      <c r="D34" s="178" t="s">
        <v>58</v>
      </c>
      <c r="E34" s="140">
        <v>92776</v>
      </c>
      <c r="F34" s="62">
        <v>353</v>
      </c>
      <c r="G34" s="63">
        <v>10.45</v>
      </c>
      <c r="H34" s="64">
        <f t="shared" si="8"/>
        <v>13.33</v>
      </c>
      <c r="I34" s="64">
        <f t="shared" si="9"/>
        <v>4705.49</v>
      </c>
      <c r="J34" s="95">
        <v>0</v>
      </c>
      <c r="K34" s="96" t="e">
        <f>(J34*#REF!)</f>
        <v>#REF!</v>
      </c>
      <c r="L34" s="76"/>
      <c r="N34" s="82"/>
    </row>
    <row r="35" spans="2:14" s="74" customFormat="1" ht="48" customHeight="1">
      <c r="B35" s="177" t="s">
        <v>99</v>
      </c>
      <c r="C35" s="143" t="s">
        <v>126</v>
      </c>
      <c r="D35" s="178" t="s">
        <v>58</v>
      </c>
      <c r="E35" s="140">
        <v>92777</v>
      </c>
      <c r="F35" s="62">
        <v>137</v>
      </c>
      <c r="G35" s="63">
        <v>10.1</v>
      </c>
      <c r="H35" s="64">
        <f t="shared" si="8"/>
        <v>12.89</v>
      </c>
      <c r="I35" s="64">
        <f t="shared" si="9"/>
        <v>1765.93</v>
      </c>
      <c r="J35" s="95"/>
      <c r="K35" s="96"/>
      <c r="L35" s="76"/>
      <c r="N35" s="82"/>
    </row>
    <row r="36" spans="2:14" s="74" customFormat="1" ht="55.5" customHeight="1">
      <c r="B36" s="177" t="s">
        <v>107</v>
      </c>
      <c r="C36" s="143" t="s">
        <v>127</v>
      </c>
      <c r="D36" s="178" t="s">
        <v>58</v>
      </c>
      <c r="E36" s="140">
        <v>92779</v>
      </c>
      <c r="F36" s="62">
        <v>634</v>
      </c>
      <c r="G36" s="63">
        <v>7.28</v>
      </c>
      <c r="H36" s="64">
        <f t="shared" si="8"/>
        <v>9.2899999999999991</v>
      </c>
      <c r="I36" s="64">
        <f t="shared" si="9"/>
        <v>5889.86</v>
      </c>
      <c r="J36" s="95">
        <v>0</v>
      </c>
      <c r="K36" s="96" t="e">
        <f>(J36*#REF!)</f>
        <v>#REF!</v>
      </c>
      <c r="L36" s="76"/>
      <c r="N36" s="82"/>
    </row>
    <row r="37" spans="2:14" s="74" customFormat="1" ht="55.5" customHeight="1">
      <c r="B37" s="177" t="s">
        <v>109</v>
      </c>
      <c r="C37" s="143" t="s">
        <v>128</v>
      </c>
      <c r="D37" s="178" t="s">
        <v>58</v>
      </c>
      <c r="E37" s="140">
        <v>92780</v>
      </c>
      <c r="F37" s="62">
        <v>661</v>
      </c>
      <c r="G37" s="63">
        <v>6.73</v>
      </c>
      <c r="H37" s="64">
        <f t="shared" si="8"/>
        <v>8.58</v>
      </c>
      <c r="I37" s="64">
        <f t="shared" si="9"/>
        <v>5671.38</v>
      </c>
      <c r="J37" s="95"/>
      <c r="K37" s="96"/>
      <c r="L37" s="76"/>
      <c r="N37" s="82"/>
    </row>
    <row r="38" spans="2:14" s="74" customFormat="1" ht="55.5" customHeight="1">
      <c r="B38" s="266" t="s">
        <v>110</v>
      </c>
      <c r="C38" s="259" t="s">
        <v>128</v>
      </c>
      <c r="D38" s="267" t="s">
        <v>58</v>
      </c>
      <c r="E38" s="268">
        <v>92780</v>
      </c>
      <c r="F38" s="262">
        <v>661</v>
      </c>
      <c r="G38" s="263">
        <v>6.73</v>
      </c>
      <c r="H38" s="264">
        <f t="shared" si="8"/>
        <v>8.58</v>
      </c>
      <c r="I38" s="264">
        <f t="shared" si="9"/>
        <v>5671.38</v>
      </c>
      <c r="J38" s="95"/>
      <c r="K38" s="96"/>
      <c r="L38" s="76"/>
      <c r="N38" s="82"/>
    </row>
    <row r="39" spans="2:14" s="74" customFormat="1" ht="42.75" customHeight="1">
      <c r="B39" s="266" t="s">
        <v>115</v>
      </c>
      <c r="C39" s="259" t="s">
        <v>129</v>
      </c>
      <c r="D39" s="267" t="s">
        <v>58</v>
      </c>
      <c r="E39" s="268" t="s">
        <v>130</v>
      </c>
      <c r="F39" s="262">
        <v>5791.86</v>
      </c>
      <c r="G39" s="263">
        <v>10.85</v>
      </c>
      <c r="H39" s="264">
        <f t="shared" ref="H39" si="10">TRUNC(G39*(1+$H$13),2)</f>
        <v>13.84</v>
      </c>
      <c r="I39" s="264">
        <f t="shared" ref="I39" si="11">TRUNC(H39*F39,2)</f>
        <v>80159.34</v>
      </c>
      <c r="J39" s="95"/>
      <c r="K39" s="96"/>
      <c r="L39" s="76"/>
      <c r="N39" s="82"/>
    </row>
    <row r="40" spans="2:14" s="1" customFormat="1" ht="17.25" customHeight="1">
      <c r="B40" s="271" t="s">
        <v>6</v>
      </c>
      <c r="C40" s="272"/>
      <c r="D40" s="272"/>
      <c r="E40" s="272"/>
      <c r="F40" s="272"/>
      <c r="G40" s="269">
        <f>(100%)</f>
        <v>1</v>
      </c>
      <c r="H40" s="270"/>
      <c r="I40" s="108">
        <f>SUM(I30:I39)</f>
        <v>139772.31</v>
      </c>
      <c r="J40" s="93" t="e">
        <f>(K40/#REF!)</f>
        <v>#REF!</v>
      </c>
      <c r="K40" s="94" t="e">
        <f>SUM(K30:K36)</f>
        <v>#REF!</v>
      </c>
      <c r="L40" s="55"/>
      <c r="M40" s="65"/>
      <c r="N40" s="6"/>
    </row>
    <row r="41" spans="2:14" s="1" customFormat="1">
      <c r="B41" s="107">
        <v>5</v>
      </c>
      <c r="C41" s="190" t="s">
        <v>35</v>
      </c>
      <c r="D41" s="337"/>
      <c r="E41" s="338"/>
      <c r="F41" s="338"/>
      <c r="G41" s="338"/>
      <c r="H41" s="338"/>
      <c r="I41" s="338"/>
      <c r="J41" s="61"/>
      <c r="K41" s="61"/>
      <c r="L41" s="56"/>
      <c r="N41" s="6"/>
    </row>
    <row r="42" spans="2:14" s="77" customFormat="1" ht="33" customHeight="1">
      <c r="B42" s="177" t="s">
        <v>80</v>
      </c>
      <c r="C42" s="180" t="s">
        <v>72</v>
      </c>
      <c r="D42" s="178" t="s">
        <v>48</v>
      </c>
      <c r="E42" s="191" t="s">
        <v>52</v>
      </c>
      <c r="F42" s="192">
        <v>19.64</v>
      </c>
      <c r="G42" s="63">
        <v>8.98</v>
      </c>
      <c r="H42" s="64">
        <f t="shared" ref="H42" si="12">TRUNC(G42*(1+$H$13),2)</f>
        <v>11.46</v>
      </c>
      <c r="I42" s="64">
        <f t="shared" ref="I42" si="13">TRUNC(H42*F42,2)</f>
        <v>225.07</v>
      </c>
      <c r="J42" s="95">
        <v>0</v>
      </c>
      <c r="K42" s="96" t="e">
        <f>(J42*#REF!)</f>
        <v>#REF!</v>
      </c>
      <c r="L42" s="76"/>
      <c r="N42" s="79"/>
    </row>
    <row r="43" spans="2:14" s="77" customFormat="1" ht="51" customHeight="1">
      <c r="B43" s="177" t="s">
        <v>141</v>
      </c>
      <c r="C43" s="181" t="s">
        <v>139</v>
      </c>
      <c r="D43" s="178" t="s">
        <v>48</v>
      </c>
      <c r="E43" s="140">
        <v>98561</v>
      </c>
      <c r="F43" s="192">
        <v>60.31</v>
      </c>
      <c r="G43" s="63">
        <v>27.68</v>
      </c>
      <c r="H43" s="64">
        <f t="shared" ref="H43" si="14">TRUNC(G43*(1+$H$13),2)</f>
        <v>35.32</v>
      </c>
      <c r="I43" s="64">
        <f t="shared" ref="I43" si="15">TRUNC(H43*F43,2)</f>
        <v>2130.14</v>
      </c>
      <c r="J43" s="95">
        <v>0</v>
      </c>
      <c r="K43" s="96" t="e">
        <f>(J43*#REF!)</f>
        <v>#REF!</v>
      </c>
      <c r="L43" s="76"/>
      <c r="N43" s="79"/>
    </row>
    <row r="44" spans="2:14" s="77" customFormat="1" ht="51" customHeight="1">
      <c r="B44" s="177" t="s">
        <v>142</v>
      </c>
      <c r="C44" s="181" t="s">
        <v>140</v>
      </c>
      <c r="D44" s="178" t="s">
        <v>48</v>
      </c>
      <c r="E44" s="140">
        <v>98547</v>
      </c>
      <c r="F44" s="192">
        <v>18.170000000000002</v>
      </c>
      <c r="G44" s="63">
        <v>136.32</v>
      </c>
      <c r="H44" s="64">
        <f t="shared" ref="H44" si="16">TRUNC(G44*(1+$H$13),2)</f>
        <v>173.98</v>
      </c>
      <c r="I44" s="64">
        <f t="shared" ref="I44" si="17">TRUNC(H44*F44,2)</f>
        <v>3161.21</v>
      </c>
      <c r="J44" s="95">
        <v>0</v>
      </c>
      <c r="K44" s="96" t="e">
        <f>(J44*#REF!)</f>
        <v>#REF!</v>
      </c>
      <c r="L44" s="76"/>
      <c r="N44" s="79"/>
    </row>
    <row r="45" spans="2:14" s="1" customFormat="1" ht="12.75" customHeight="1">
      <c r="B45" s="271" t="s">
        <v>6</v>
      </c>
      <c r="C45" s="272"/>
      <c r="D45" s="272"/>
      <c r="E45" s="272"/>
      <c r="F45" s="272"/>
      <c r="G45" s="269">
        <f>(100%)</f>
        <v>1</v>
      </c>
      <c r="H45" s="270"/>
      <c r="I45" s="108">
        <f>SUM(I42:I44)</f>
        <v>5516.42</v>
      </c>
      <c r="J45" s="93">
        <v>0</v>
      </c>
      <c r="K45" s="94" t="e">
        <f>SUM(K42)</f>
        <v>#REF!</v>
      </c>
      <c r="L45" s="55"/>
      <c r="M45" s="65"/>
      <c r="N45" s="6"/>
    </row>
    <row r="46" spans="2:14" s="84" customFormat="1">
      <c r="B46" s="107">
        <v>6</v>
      </c>
      <c r="C46" s="15" t="s">
        <v>36</v>
      </c>
      <c r="D46" s="337"/>
      <c r="E46" s="338"/>
      <c r="F46" s="338"/>
      <c r="G46" s="338"/>
      <c r="H46" s="338"/>
      <c r="I46" s="338"/>
      <c r="J46" s="76"/>
      <c r="K46" s="76"/>
      <c r="L46" s="83"/>
      <c r="N46" s="85"/>
    </row>
    <row r="47" spans="2:14" s="84" customFormat="1" ht="76.5" customHeight="1">
      <c r="B47" s="144" t="s">
        <v>111</v>
      </c>
      <c r="C47" s="180" t="s">
        <v>95</v>
      </c>
      <c r="D47" s="178" t="s">
        <v>48</v>
      </c>
      <c r="E47" s="140">
        <v>87525</v>
      </c>
      <c r="F47" s="62">
        <v>242.37200000000001</v>
      </c>
      <c r="G47" s="63">
        <v>99.98</v>
      </c>
      <c r="H47" s="64">
        <f t="shared" ref="H47:H48" si="18">TRUNC(G47*(1+$H$13),2)</f>
        <v>127.6</v>
      </c>
      <c r="I47" s="64">
        <f t="shared" ref="I47:I48" si="19">TRUNC(H47*F47,2)</f>
        <v>30926.66</v>
      </c>
      <c r="J47" s="95">
        <v>0</v>
      </c>
      <c r="K47" s="96" t="e">
        <f>(J47*#REF!)</f>
        <v>#REF!</v>
      </c>
      <c r="L47" s="76"/>
      <c r="N47" s="85"/>
    </row>
    <row r="48" spans="2:14" s="84" customFormat="1" ht="45" customHeight="1">
      <c r="B48" s="144" t="s">
        <v>103</v>
      </c>
      <c r="C48" s="143" t="s">
        <v>134</v>
      </c>
      <c r="D48" s="178" t="s">
        <v>47</v>
      </c>
      <c r="E48" s="140">
        <v>93202</v>
      </c>
      <c r="F48" s="62">
        <v>77.92</v>
      </c>
      <c r="G48" s="63">
        <v>17.170000000000002</v>
      </c>
      <c r="H48" s="64">
        <f t="shared" si="18"/>
        <v>21.91</v>
      </c>
      <c r="I48" s="64">
        <f t="shared" si="19"/>
        <v>1707.22</v>
      </c>
      <c r="J48" s="95">
        <v>0</v>
      </c>
      <c r="K48" s="96" t="e">
        <f>(J48*#REF!)</f>
        <v>#REF!</v>
      </c>
      <c r="L48" s="76"/>
      <c r="N48" s="85"/>
    </row>
    <row r="49" spans="1:14" s="84" customFormat="1" ht="39.75" customHeight="1">
      <c r="B49" s="144" t="s">
        <v>148</v>
      </c>
      <c r="C49" s="60" t="s">
        <v>92</v>
      </c>
      <c r="D49" s="178" t="s">
        <v>47</v>
      </c>
      <c r="E49" s="140">
        <v>93188</v>
      </c>
      <c r="F49" s="62">
        <v>2.4</v>
      </c>
      <c r="G49" s="63">
        <v>37.450000000000003</v>
      </c>
      <c r="H49" s="64">
        <f t="shared" ref="H49" si="20">TRUNC(G49*(1+$H$13),2)</f>
        <v>47.79</v>
      </c>
      <c r="I49" s="64">
        <f t="shared" ref="I49" si="21">TRUNC(H49*F49,2)</f>
        <v>114.69</v>
      </c>
      <c r="J49" s="95"/>
      <c r="K49" s="96"/>
      <c r="L49" s="76"/>
      <c r="N49" s="85"/>
    </row>
    <row r="50" spans="1:14" s="1" customFormat="1" ht="15" customHeight="1">
      <c r="B50" s="271" t="s">
        <v>6</v>
      </c>
      <c r="C50" s="272"/>
      <c r="D50" s="272"/>
      <c r="E50" s="272"/>
      <c r="F50" s="272"/>
      <c r="G50" s="269">
        <f>(100%)</f>
        <v>1</v>
      </c>
      <c r="H50" s="270"/>
      <c r="I50" s="108">
        <f>SUM(I47:I49)</f>
        <v>32748.57</v>
      </c>
      <c r="J50" s="93" t="e">
        <f>(K50/#REF!)</f>
        <v>#REF!</v>
      </c>
      <c r="K50" s="94" t="e">
        <f>SUM(K47:K48)</f>
        <v>#REF!</v>
      </c>
      <c r="L50" s="55"/>
      <c r="N50" s="6"/>
    </row>
    <row r="51" spans="1:14" s="84" customFormat="1" ht="19.5" customHeight="1">
      <c r="B51" s="107">
        <v>7</v>
      </c>
      <c r="C51" s="15" t="s">
        <v>37</v>
      </c>
      <c r="D51" s="275"/>
      <c r="E51" s="273"/>
      <c r="F51" s="273"/>
      <c r="G51" s="273"/>
      <c r="H51" s="273"/>
      <c r="I51" s="274"/>
      <c r="J51" s="76"/>
      <c r="K51" s="76"/>
      <c r="L51" s="83"/>
      <c r="N51" s="85"/>
    </row>
    <row r="52" spans="1:14" s="84" customFormat="1" ht="59.25" customHeight="1">
      <c r="B52" s="177" t="s">
        <v>81</v>
      </c>
      <c r="C52" s="181" t="s">
        <v>156</v>
      </c>
      <c r="D52" s="178" t="s">
        <v>48</v>
      </c>
      <c r="E52" s="140">
        <v>87897</v>
      </c>
      <c r="F52" s="62">
        <v>506.32</v>
      </c>
      <c r="G52" s="63">
        <v>4</v>
      </c>
      <c r="H52" s="64">
        <f t="shared" ref="H52:H53" si="22">TRUNC(G52*(1+$H$13),2)</f>
        <v>5.0999999999999996</v>
      </c>
      <c r="I52" s="64">
        <f t="shared" ref="I52:I53" si="23">TRUNC(H52*F52,2)</f>
        <v>2582.23</v>
      </c>
      <c r="J52" s="95">
        <v>0</v>
      </c>
      <c r="K52" s="96" t="e">
        <f>(J52*#REF!)</f>
        <v>#REF!</v>
      </c>
      <c r="L52" s="76"/>
      <c r="N52" s="85"/>
    </row>
    <row r="53" spans="1:14" s="84" customFormat="1" ht="67.5" customHeight="1">
      <c r="A53" s="127"/>
      <c r="B53" s="177" t="s">
        <v>149</v>
      </c>
      <c r="C53" s="60" t="s">
        <v>94</v>
      </c>
      <c r="D53" s="178" t="s">
        <v>48</v>
      </c>
      <c r="E53" s="140">
        <v>87529</v>
      </c>
      <c r="F53" s="62">
        <v>253.16</v>
      </c>
      <c r="G53" s="63">
        <v>24.44</v>
      </c>
      <c r="H53" s="64">
        <f t="shared" si="22"/>
        <v>31.19</v>
      </c>
      <c r="I53" s="64">
        <f t="shared" si="23"/>
        <v>7896.06</v>
      </c>
      <c r="J53" s="95">
        <v>0</v>
      </c>
      <c r="K53" s="96" t="e">
        <f>(J53*#REF!)</f>
        <v>#REF!</v>
      </c>
      <c r="L53" s="76"/>
      <c r="N53" s="85"/>
    </row>
    <row r="54" spans="1:14" s="84" customFormat="1" ht="77.25" customHeight="1">
      <c r="A54" s="127"/>
      <c r="B54" s="177" t="s">
        <v>155</v>
      </c>
      <c r="C54" s="259" t="s">
        <v>178</v>
      </c>
      <c r="D54" s="260" t="s">
        <v>51</v>
      </c>
      <c r="E54" s="261" t="s">
        <v>105</v>
      </c>
      <c r="F54" s="262">
        <v>410.93</v>
      </c>
      <c r="G54" s="263">
        <v>352.62</v>
      </c>
      <c r="H54" s="264">
        <f t="shared" ref="H54" si="24">TRUNC(G54*(1+$H$13),2)</f>
        <v>450.04</v>
      </c>
      <c r="I54" s="264">
        <f t="shared" ref="I54" si="25">TRUNC(H54*F54,2)</f>
        <v>184934.93</v>
      </c>
      <c r="J54" s="95"/>
      <c r="K54" s="96"/>
      <c r="L54" s="76"/>
      <c r="M54" s="84" t="e">
        <f>(G54*H7)</f>
        <v>#VALUE!</v>
      </c>
      <c r="N54" s="85"/>
    </row>
    <row r="55" spans="1:14" s="84" customFormat="1" ht="59.4" customHeight="1">
      <c r="A55" s="127"/>
      <c r="B55" s="177" t="s">
        <v>186</v>
      </c>
      <c r="C55" s="259" t="s">
        <v>183</v>
      </c>
      <c r="D55" s="265" t="s">
        <v>104</v>
      </c>
      <c r="E55" s="261" t="s">
        <v>87</v>
      </c>
      <c r="F55" s="262">
        <v>2</v>
      </c>
      <c r="G55" s="263">
        <v>10000</v>
      </c>
      <c r="H55" s="264">
        <f t="shared" ref="H55" si="26">TRUNC(G55*(1+$H$13),2)</f>
        <v>12763</v>
      </c>
      <c r="I55" s="264">
        <f t="shared" ref="I55" si="27">TRUNC(H55*F55,2)</f>
        <v>25526</v>
      </c>
      <c r="J55" s="95"/>
      <c r="K55" s="96"/>
      <c r="L55" s="76"/>
      <c r="M55" s="84">
        <f>(G55*H8)</f>
        <v>0</v>
      </c>
      <c r="N55" s="85"/>
    </row>
    <row r="56" spans="1:14" s="1" customFormat="1" ht="12.75" customHeight="1">
      <c r="B56" s="271" t="s">
        <v>6</v>
      </c>
      <c r="C56" s="272"/>
      <c r="D56" s="272"/>
      <c r="E56" s="272"/>
      <c r="F56" s="272"/>
      <c r="G56" s="269">
        <f>(100%)</f>
        <v>1</v>
      </c>
      <c r="H56" s="270"/>
      <c r="I56" s="108">
        <f>SUM(I52:I55)</f>
        <v>220939.22</v>
      </c>
      <c r="J56" s="97" t="e">
        <f>(K56/#REF!)</f>
        <v>#REF!</v>
      </c>
      <c r="K56" s="94" t="e">
        <f>SUM(K52:K54)</f>
        <v>#REF!</v>
      </c>
      <c r="L56" s="55"/>
      <c r="M56" s="229" t="s">
        <v>182</v>
      </c>
      <c r="N56" s="6"/>
    </row>
    <row r="57" spans="1:14" ht="22.5" customHeight="1">
      <c r="B57" s="107">
        <v>8</v>
      </c>
      <c r="C57" s="142" t="s">
        <v>38</v>
      </c>
      <c r="D57" s="195"/>
      <c r="E57" s="195"/>
      <c r="F57" s="195"/>
      <c r="G57" s="195"/>
      <c r="H57" s="195"/>
      <c r="I57" s="196"/>
      <c r="J57" s="61"/>
      <c r="K57" s="61"/>
      <c r="L57" s="57"/>
      <c r="M57" s="206">
        <f>SUM(I18,I21,I28,I40,I45,I50,I56,I62,I65,I70,I74)</f>
        <v>479544.44999999995</v>
      </c>
    </row>
    <row r="58" spans="1:14" s="84" customFormat="1" ht="26.4">
      <c r="B58" s="144" t="s">
        <v>150</v>
      </c>
      <c r="C58" s="143" t="s">
        <v>131</v>
      </c>
      <c r="D58" s="145" t="s">
        <v>48</v>
      </c>
      <c r="E58" s="140">
        <v>91341</v>
      </c>
      <c r="F58" s="62">
        <v>1.26</v>
      </c>
      <c r="G58" s="63">
        <v>703.42</v>
      </c>
      <c r="H58" s="64">
        <f t="shared" ref="H58:H59" si="28">TRUNC(G58*(1+$H$13),2)</f>
        <v>897.77</v>
      </c>
      <c r="I58" s="64">
        <f t="shared" ref="I58:I59" si="29">TRUNC(H58*F58,2)</f>
        <v>1131.19</v>
      </c>
      <c r="J58" s="95"/>
      <c r="K58" s="96"/>
      <c r="L58" s="76"/>
      <c r="N58" s="85"/>
    </row>
    <row r="59" spans="1:14" s="84" customFormat="1" ht="31.5" customHeight="1">
      <c r="B59" s="144" t="s">
        <v>151</v>
      </c>
      <c r="C59" s="143" t="s">
        <v>133</v>
      </c>
      <c r="D59" s="145" t="s">
        <v>48</v>
      </c>
      <c r="E59" s="140" t="s">
        <v>132</v>
      </c>
      <c r="F59" s="62">
        <v>2.2799999999999998</v>
      </c>
      <c r="G59" s="63">
        <v>427.07</v>
      </c>
      <c r="H59" s="64">
        <f t="shared" si="28"/>
        <v>545.05999999999995</v>
      </c>
      <c r="I59" s="64">
        <f t="shared" si="29"/>
        <v>1242.73</v>
      </c>
      <c r="J59" s="95"/>
      <c r="K59" s="96"/>
      <c r="L59" s="76"/>
      <c r="N59" s="85"/>
    </row>
    <row r="60" spans="1:14" s="84" customFormat="1" ht="31.5" customHeight="1">
      <c r="B60" s="144" t="s">
        <v>152</v>
      </c>
      <c r="C60" s="143" t="s">
        <v>144</v>
      </c>
      <c r="D60" s="145" t="s">
        <v>47</v>
      </c>
      <c r="E60" s="140" t="s">
        <v>143</v>
      </c>
      <c r="F60" s="62">
        <v>7.58</v>
      </c>
      <c r="G60" s="63">
        <v>233.46</v>
      </c>
      <c r="H60" s="64">
        <f t="shared" ref="H60" si="30">TRUNC(G60*(1+$H$13),2)</f>
        <v>297.95999999999998</v>
      </c>
      <c r="I60" s="64">
        <f t="shared" ref="I60" si="31">TRUNC(H60*F60,2)</f>
        <v>2258.5300000000002</v>
      </c>
      <c r="J60" s="95"/>
      <c r="K60" s="96"/>
      <c r="L60" s="76"/>
      <c r="N60" s="85"/>
    </row>
    <row r="61" spans="1:14" s="84" customFormat="1" ht="31.5" customHeight="1">
      <c r="B61" s="144" t="s">
        <v>153</v>
      </c>
      <c r="C61" s="143" t="s">
        <v>146</v>
      </c>
      <c r="D61" s="145" t="s">
        <v>47</v>
      </c>
      <c r="E61" s="140" t="s">
        <v>145</v>
      </c>
      <c r="F61" s="62">
        <v>8.6</v>
      </c>
      <c r="G61" s="63">
        <v>379.71</v>
      </c>
      <c r="H61" s="64">
        <f t="shared" ref="H61" si="32">TRUNC(G61*(1+$H$13),2)</f>
        <v>484.62</v>
      </c>
      <c r="I61" s="64">
        <f t="shared" ref="I61" si="33">TRUNC(H61*F61,2)</f>
        <v>4167.7299999999996</v>
      </c>
      <c r="J61" s="95"/>
      <c r="K61" s="96"/>
      <c r="L61" s="76"/>
      <c r="N61" s="85"/>
    </row>
    <row r="62" spans="1:14" s="1" customFormat="1" ht="12.75" customHeight="1">
      <c r="B62" s="271" t="s">
        <v>6</v>
      </c>
      <c r="C62" s="272"/>
      <c r="D62" s="272"/>
      <c r="E62" s="272"/>
      <c r="F62" s="272"/>
      <c r="G62" s="269">
        <f>(100%)</f>
        <v>1</v>
      </c>
      <c r="H62" s="270"/>
      <c r="I62" s="108">
        <f>SUM(I58:I61)</f>
        <v>8800.18</v>
      </c>
      <c r="J62" s="93" t="e">
        <f>(K62/#REF!)</f>
        <v>#REF!</v>
      </c>
      <c r="K62" s="94" t="e">
        <f>SUM(#REF!)</f>
        <v>#REF!</v>
      </c>
      <c r="L62" s="55"/>
      <c r="N62" s="6"/>
    </row>
    <row r="63" spans="1:14" s="84" customFormat="1">
      <c r="B63" s="107">
        <v>9</v>
      </c>
      <c r="C63" s="142" t="s">
        <v>39</v>
      </c>
      <c r="D63" s="166"/>
      <c r="E63" s="166"/>
      <c r="F63" s="166"/>
      <c r="G63" s="166"/>
      <c r="H63" s="166"/>
      <c r="I63" s="167"/>
      <c r="J63" s="76"/>
      <c r="K63" s="76"/>
      <c r="L63" s="83"/>
      <c r="N63" s="85"/>
    </row>
    <row r="64" spans="1:14" s="84" customFormat="1" ht="33.75" customHeight="1">
      <c r="B64" s="144" t="s">
        <v>154</v>
      </c>
      <c r="C64" s="60" t="s">
        <v>49</v>
      </c>
      <c r="D64" s="141" t="s">
        <v>50</v>
      </c>
      <c r="E64" s="140">
        <v>83534</v>
      </c>
      <c r="F64" s="62">
        <v>6.8280000000000003</v>
      </c>
      <c r="G64" s="63">
        <v>476.71</v>
      </c>
      <c r="H64" s="64">
        <f t="shared" ref="H64" si="34">TRUNC(G64*(1+$H$13),2)</f>
        <v>608.41999999999996</v>
      </c>
      <c r="I64" s="64">
        <f t="shared" ref="I64" si="35">TRUNC(H64*F64,2)</f>
        <v>4154.29</v>
      </c>
      <c r="J64" s="95">
        <v>0.8</v>
      </c>
      <c r="K64" s="96" t="e">
        <f>(J64*#REF!)</f>
        <v>#REF!</v>
      </c>
      <c r="L64" s="76"/>
      <c r="N64" s="85"/>
    </row>
    <row r="65" spans="1:14" s="1" customFormat="1" ht="12.75" customHeight="1">
      <c r="B65" s="271" t="s">
        <v>6</v>
      </c>
      <c r="C65" s="272"/>
      <c r="D65" s="272"/>
      <c r="E65" s="272"/>
      <c r="F65" s="272"/>
      <c r="G65" s="269">
        <f>(100%)</f>
        <v>1</v>
      </c>
      <c r="H65" s="270"/>
      <c r="I65" s="108">
        <f>SUM(I64:I64)</f>
        <v>4154.29</v>
      </c>
      <c r="J65" s="93" t="e">
        <f>(K65/#REF!)</f>
        <v>#REF!</v>
      </c>
      <c r="K65" s="94" t="e">
        <f>SUM(#REF!)</f>
        <v>#REF!</v>
      </c>
      <c r="L65" s="55"/>
      <c r="N65" s="6"/>
    </row>
    <row r="66" spans="1:14" s="84" customFormat="1" ht="21" customHeight="1">
      <c r="B66" s="107">
        <v>10</v>
      </c>
      <c r="C66" s="142" t="s">
        <v>40</v>
      </c>
      <c r="D66" s="273"/>
      <c r="E66" s="273"/>
      <c r="F66" s="273"/>
      <c r="G66" s="273"/>
      <c r="H66" s="273"/>
      <c r="I66" s="274"/>
      <c r="J66" s="76"/>
      <c r="K66" s="76"/>
      <c r="L66" s="83"/>
      <c r="N66" s="85"/>
    </row>
    <row r="67" spans="1:14" s="84" customFormat="1" ht="35.25" customHeight="1">
      <c r="B67" s="144" t="s">
        <v>82</v>
      </c>
      <c r="C67" s="143" t="s">
        <v>116</v>
      </c>
      <c r="D67" s="145" t="s">
        <v>48</v>
      </c>
      <c r="E67" s="106">
        <v>88415</v>
      </c>
      <c r="F67" s="62">
        <v>250.16</v>
      </c>
      <c r="G67" s="63">
        <v>1.88</v>
      </c>
      <c r="H67" s="109">
        <f t="shared" ref="H67:H69" si="36">TRUNC(G67*(1+$H$13),2)</f>
        <v>2.39</v>
      </c>
      <c r="I67" s="109">
        <f t="shared" ref="I67:I69" si="37">TRUNC(H67*F67,2)</f>
        <v>597.88</v>
      </c>
      <c r="J67" s="95"/>
      <c r="K67" s="96"/>
      <c r="L67" s="76"/>
      <c r="N67" s="85"/>
    </row>
    <row r="68" spans="1:14" s="84" customFormat="1" ht="30" customHeight="1">
      <c r="B68" s="144" t="s">
        <v>83</v>
      </c>
      <c r="C68" s="143" t="s">
        <v>117</v>
      </c>
      <c r="D68" s="145" t="s">
        <v>48</v>
      </c>
      <c r="E68" s="106">
        <v>96130</v>
      </c>
      <c r="F68" s="62">
        <v>250.16</v>
      </c>
      <c r="G68" s="63">
        <v>13.28</v>
      </c>
      <c r="H68" s="109">
        <f t="shared" si="36"/>
        <v>16.940000000000001</v>
      </c>
      <c r="I68" s="109">
        <f t="shared" si="37"/>
        <v>4237.71</v>
      </c>
      <c r="J68" s="95"/>
      <c r="K68" s="96"/>
      <c r="L68" s="76"/>
      <c r="N68" s="85"/>
    </row>
    <row r="69" spans="1:14" s="84" customFormat="1" ht="18.75" customHeight="1">
      <c r="B69" s="144" t="s">
        <v>112</v>
      </c>
      <c r="C69" s="186" t="s">
        <v>137</v>
      </c>
      <c r="D69" s="182" t="s">
        <v>51</v>
      </c>
      <c r="E69" s="183">
        <v>79460</v>
      </c>
      <c r="F69" s="184">
        <v>327.69</v>
      </c>
      <c r="G69" s="185">
        <v>39.82</v>
      </c>
      <c r="H69" s="109">
        <f t="shared" si="36"/>
        <v>50.82</v>
      </c>
      <c r="I69" s="109">
        <f t="shared" si="37"/>
        <v>16653.2</v>
      </c>
      <c r="J69" s="95">
        <v>0</v>
      </c>
      <c r="K69" s="96" t="e">
        <f>(J69*#REF!)</f>
        <v>#REF!</v>
      </c>
      <c r="L69" s="76"/>
      <c r="N69" s="85"/>
    </row>
    <row r="70" spans="1:14" s="1" customFormat="1" ht="12.75" customHeight="1">
      <c r="B70" s="271" t="s">
        <v>6</v>
      </c>
      <c r="C70" s="272"/>
      <c r="D70" s="272"/>
      <c r="E70" s="272"/>
      <c r="F70" s="272"/>
      <c r="G70" s="269">
        <f>(100%)</f>
        <v>1</v>
      </c>
      <c r="H70" s="270"/>
      <c r="I70" s="108">
        <f>SUM(I67:I69)</f>
        <v>21488.79</v>
      </c>
      <c r="J70" s="93" t="e">
        <f>(K70/#REF!)</f>
        <v>#REF!</v>
      </c>
      <c r="K70" s="94" t="e">
        <f>SUM(#REF!)</f>
        <v>#REF!</v>
      </c>
      <c r="L70" s="55"/>
      <c r="M70" s="65"/>
      <c r="N70" s="6"/>
    </row>
    <row r="71" spans="1:14" s="84" customFormat="1" ht="19.5" customHeight="1">
      <c r="B71" s="107">
        <v>11</v>
      </c>
      <c r="C71" s="142" t="s">
        <v>135</v>
      </c>
      <c r="D71" s="273"/>
      <c r="E71" s="273"/>
      <c r="F71" s="273"/>
      <c r="G71" s="273"/>
      <c r="H71" s="273"/>
      <c r="I71" s="274"/>
      <c r="J71" s="170"/>
      <c r="K71" s="170"/>
      <c r="L71" s="83"/>
      <c r="N71" s="85"/>
    </row>
    <row r="72" spans="1:14" s="77" customFormat="1" ht="20.25" customHeight="1">
      <c r="B72" s="144" t="s">
        <v>84</v>
      </c>
      <c r="C72" s="197" t="s">
        <v>191</v>
      </c>
      <c r="D72" s="232" t="s">
        <v>48</v>
      </c>
      <c r="E72" s="198">
        <v>98519</v>
      </c>
      <c r="F72" s="187">
        <v>974.68</v>
      </c>
      <c r="G72" s="188">
        <v>1.44</v>
      </c>
      <c r="H72" s="109">
        <f t="shared" ref="H72:H73" si="38">TRUNC(G72*(1+$H$13),2)</f>
        <v>1.83</v>
      </c>
      <c r="I72" s="189">
        <f>TRUNC(H72*F72,2)</f>
        <v>1783.66</v>
      </c>
      <c r="J72" s="168">
        <v>1</v>
      </c>
      <c r="K72" s="169" t="e">
        <f>(J72*#REF!)</f>
        <v>#REF!</v>
      </c>
      <c r="L72" s="170"/>
      <c r="N72" s="79"/>
    </row>
    <row r="73" spans="1:14" s="100" customFormat="1" ht="21.75" customHeight="1">
      <c r="B73" s="144" t="s">
        <v>192</v>
      </c>
      <c r="C73" s="143" t="s">
        <v>136</v>
      </c>
      <c r="D73" s="145" t="s">
        <v>48</v>
      </c>
      <c r="E73" s="140">
        <v>85180</v>
      </c>
      <c r="F73" s="187">
        <v>974.68</v>
      </c>
      <c r="G73" s="188">
        <v>13.95</v>
      </c>
      <c r="H73" s="109">
        <f t="shared" si="38"/>
        <v>17.8</v>
      </c>
      <c r="I73" s="189">
        <f t="shared" ref="I73" si="39">TRUNC(H73*F73,2)</f>
        <v>17349.3</v>
      </c>
      <c r="J73" s="171">
        <v>0</v>
      </c>
      <c r="K73" s="172" t="e">
        <f>(J73*#REF!)</f>
        <v>#REF!</v>
      </c>
      <c r="L73" s="173"/>
      <c r="N73" s="101"/>
    </row>
    <row r="74" spans="1:14" s="1" customFormat="1" ht="12.75" customHeight="1">
      <c r="B74" s="271" t="s">
        <v>6</v>
      </c>
      <c r="C74" s="272"/>
      <c r="D74" s="272"/>
      <c r="E74" s="272"/>
      <c r="F74" s="272"/>
      <c r="G74" s="269">
        <f>(100%)</f>
        <v>1</v>
      </c>
      <c r="H74" s="270"/>
      <c r="I74" s="108">
        <f>SUM(I72:I73)</f>
        <v>19132.96</v>
      </c>
      <c r="J74" s="93" t="e">
        <f>(K74/#REF!)</f>
        <v>#REF!</v>
      </c>
      <c r="K74" s="94" t="e">
        <f>SUM(#REF!)</f>
        <v>#REF!</v>
      </c>
      <c r="L74" s="55"/>
      <c r="M74" s="65"/>
      <c r="N74" s="6"/>
    </row>
    <row r="75" spans="1:14" s="84" customFormat="1" ht="19.5" customHeight="1">
      <c r="B75" s="107">
        <v>12</v>
      </c>
      <c r="C75" s="142" t="s">
        <v>185</v>
      </c>
      <c r="D75" s="273"/>
      <c r="E75" s="273"/>
      <c r="F75" s="273"/>
      <c r="G75" s="273"/>
      <c r="H75" s="273"/>
      <c r="I75" s="274"/>
      <c r="J75" s="170"/>
      <c r="K75" s="170"/>
      <c r="L75" s="83"/>
      <c r="N75" s="85"/>
    </row>
    <row r="76" spans="1:14" s="100" customFormat="1" ht="55.8" customHeight="1">
      <c r="B76" s="144" t="s">
        <v>187</v>
      </c>
      <c r="C76" s="143" t="s">
        <v>190</v>
      </c>
      <c r="D76" s="145" t="s">
        <v>48</v>
      </c>
      <c r="E76" s="140">
        <v>94213</v>
      </c>
      <c r="F76" s="187">
        <v>115.28</v>
      </c>
      <c r="G76" s="188">
        <v>41.89</v>
      </c>
      <c r="H76" s="109">
        <f t="shared" ref="H76" si="40">TRUNC(G76*(1+$H$13),2)</f>
        <v>53.46</v>
      </c>
      <c r="I76" s="189">
        <f t="shared" ref="I76" si="41">TRUNC(H76*F76,2)</f>
        <v>6162.86</v>
      </c>
      <c r="J76" s="171">
        <v>0</v>
      </c>
      <c r="K76" s="172" t="e">
        <f>(J76*#REF!)</f>
        <v>#REF!</v>
      </c>
      <c r="L76" s="173"/>
      <c r="N76" s="101"/>
    </row>
    <row r="77" spans="1:14" s="1" customFormat="1" ht="12.75" customHeight="1">
      <c r="B77" s="271" t="s">
        <v>6</v>
      </c>
      <c r="C77" s="272"/>
      <c r="D77" s="272"/>
      <c r="E77" s="272"/>
      <c r="F77" s="272"/>
      <c r="G77" s="269">
        <f>(100%)</f>
        <v>1</v>
      </c>
      <c r="H77" s="270"/>
      <c r="I77" s="108">
        <f>SUM(I76)</f>
        <v>6162.86</v>
      </c>
      <c r="J77" s="93" t="e">
        <f>(K77/#REF!)</f>
        <v>#REF!</v>
      </c>
      <c r="K77" s="94" t="e">
        <f>SUM(#REF!)</f>
        <v>#REF!</v>
      </c>
      <c r="L77" s="55"/>
      <c r="M77" s="65"/>
      <c r="N77" s="6"/>
    </row>
    <row r="78" spans="1:14" s="84" customFormat="1" ht="19.5" customHeight="1">
      <c r="B78" s="107">
        <v>13</v>
      </c>
      <c r="C78" s="15" t="s">
        <v>41</v>
      </c>
      <c r="D78" s="275"/>
      <c r="E78" s="273"/>
      <c r="F78" s="273"/>
      <c r="G78" s="273"/>
      <c r="H78" s="273"/>
      <c r="I78" s="274"/>
      <c r="J78" s="76"/>
      <c r="K78" s="76"/>
      <c r="L78" s="83"/>
      <c r="N78" s="85"/>
    </row>
    <row r="79" spans="1:14" s="84" customFormat="1" ht="15.75" customHeight="1">
      <c r="A79" s="127"/>
      <c r="B79" s="285" t="s">
        <v>120</v>
      </c>
      <c r="C79" s="286"/>
      <c r="D79" s="201"/>
      <c r="E79" s="200"/>
      <c r="F79" s="202"/>
      <c r="G79" s="203"/>
      <c r="H79" s="204"/>
      <c r="I79" s="205"/>
      <c r="J79" s="168">
        <v>0</v>
      </c>
      <c r="K79" s="169" t="e">
        <f>(J79*#REF!)</f>
        <v>#REF!</v>
      </c>
      <c r="L79" s="170"/>
      <c r="N79" s="85"/>
    </row>
    <row r="80" spans="1:14" s="84" customFormat="1" ht="45" customHeight="1">
      <c r="A80" s="127"/>
      <c r="B80" s="144" t="s">
        <v>188</v>
      </c>
      <c r="C80" s="143" t="s">
        <v>118</v>
      </c>
      <c r="D80" s="145" t="s">
        <v>47</v>
      </c>
      <c r="E80" s="140">
        <v>89578</v>
      </c>
      <c r="F80" s="188">
        <v>24.4</v>
      </c>
      <c r="G80" s="188">
        <v>25.68</v>
      </c>
      <c r="H80" s="64">
        <f t="shared" ref="H80:H81" si="42">TRUNC(G80*(1+$H$13),2)</f>
        <v>32.770000000000003</v>
      </c>
      <c r="I80" s="189">
        <f t="shared" ref="I80:I81" si="43">TRUNC(H80*F80,2)</f>
        <v>799.58</v>
      </c>
      <c r="J80" s="168">
        <v>0</v>
      </c>
      <c r="K80" s="169" t="e">
        <f>(J80*#REF!)</f>
        <v>#REF!</v>
      </c>
      <c r="L80" s="170"/>
      <c r="N80" s="85"/>
    </row>
    <row r="81" spans="2:14" s="84" customFormat="1" ht="44.25" customHeight="1">
      <c r="B81" s="144" t="s">
        <v>189</v>
      </c>
      <c r="C81" s="143" t="s">
        <v>119</v>
      </c>
      <c r="D81" s="145" t="s">
        <v>59</v>
      </c>
      <c r="E81" s="140">
        <v>89529</v>
      </c>
      <c r="F81" s="188">
        <v>2</v>
      </c>
      <c r="G81" s="188">
        <v>25.93</v>
      </c>
      <c r="H81" s="64">
        <f t="shared" si="42"/>
        <v>33.090000000000003</v>
      </c>
      <c r="I81" s="189">
        <f t="shared" si="43"/>
        <v>66.180000000000007</v>
      </c>
      <c r="J81" s="168">
        <v>0</v>
      </c>
      <c r="K81" s="169" t="e">
        <f>(J81*#REF!)</f>
        <v>#REF!</v>
      </c>
      <c r="L81" s="170"/>
      <c r="N81" s="85"/>
    </row>
    <row r="82" spans="2:14" s="1" customFormat="1" ht="12.75" customHeight="1">
      <c r="B82" s="271" t="s">
        <v>6</v>
      </c>
      <c r="C82" s="272"/>
      <c r="D82" s="272"/>
      <c r="E82" s="272"/>
      <c r="F82" s="272"/>
      <c r="G82" s="269">
        <f>(100%)</f>
        <v>1</v>
      </c>
      <c r="H82" s="270"/>
      <c r="I82" s="108">
        <f>SUM(I80:I81)</f>
        <v>865.76</v>
      </c>
      <c r="J82" s="93" t="e">
        <f>(K82/#REF!)</f>
        <v>#REF!</v>
      </c>
      <c r="K82" s="94" t="e">
        <f>SUM(#REF!)</f>
        <v>#REF!</v>
      </c>
      <c r="L82" s="55"/>
      <c r="M82" s="65"/>
      <c r="N82" s="6"/>
    </row>
    <row r="83" spans="2:14">
      <c r="B83" s="107">
        <v>14</v>
      </c>
      <c r="C83" s="190" t="s">
        <v>89</v>
      </c>
      <c r="D83" s="275"/>
      <c r="E83" s="273"/>
      <c r="F83" s="273"/>
      <c r="G83" s="273"/>
      <c r="H83" s="273"/>
      <c r="I83" s="274"/>
      <c r="J83" s="61"/>
      <c r="K83" s="61"/>
      <c r="L83" s="57"/>
    </row>
    <row r="84" spans="2:14" s="84" customFormat="1" ht="26.4">
      <c r="B84" s="144" t="s">
        <v>93</v>
      </c>
      <c r="C84" s="143" t="s">
        <v>201</v>
      </c>
      <c r="D84" s="141" t="s">
        <v>70</v>
      </c>
      <c r="E84" s="140" t="s">
        <v>200</v>
      </c>
      <c r="F84" s="62">
        <v>26</v>
      </c>
      <c r="G84" s="63">
        <v>1.55</v>
      </c>
      <c r="H84" s="64">
        <f t="shared" ref="H84" si="44">TRUNC(G84*(1+$H$13),2)</f>
        <v>1.97</v>
      </c>
      <c r="I84" s="64">
        <f t="shared" ref="I84" si="45">TRUNC(H84*F84,2)</f>
        <v>51.22</v>
      </c>
      <c r="J84" s="95">
        <v>0</v>
      </c>
      <c r="K84" s="96" t="e">
        <f>(J84*#REF!)</f>
        <v>#REF!</v>
      </c>
      <c r="L84" s="76"/>
      <c r="N84" s="85"/>
    </row>
    <row r="85" spans="2:14" s="1" customFormat="1" ht="12.75" customHeight="1" thickBot="1">
      <c r="B85" s="279" t="s">
        <v>6</v>
      </c>
      <c r="C85" s="280"/>
      <c r="D85" s="280"/>
      <c r="E85" s="280"/>
      <c r="F85" s="281"/>
      <c r="G85" s="269">
        <f>(100%)</f>
        <v>1</v>
      </c>
      <c r="H85" s="270"/>
      <c r="I85" s="230">
        <f>SUM(I84:I84)</f>
        <v>51.22</v>
      </c>
      <c r="J85" s="93" t="e">
        <f>(K85/#REF!)</f>
        <v>#REF!</v>
      </c>
      <c r="K85" s="94" t="e">
        <f>SUM(K84:K84)</f>
        <v>#REF!</v>
      </c>
      <c r="L85" s="55"/>
      <c r="N85" s="6"/>
    </row>
    <row r="86" spans="2:14" ht="15.75" customHeight="1" thickBot="1">
      <c r="B86" s="282" t="s">
        <v>71</v>
      </c>
      <c r="C86" s="283"/>
      <c r="D86" s="283"/>
      <c r="E86" s="283"/>
      <c r="F86" s="283"/>
      <c r="G86" s="283"/>
      <c r="H86" s="284"/>
      <c r="I86" s="231">
        <f>SUM(I18,I21,I28,I40,I45,I50,I56,I62,I65,I70,I74,I77,I82,I85)</f>
        <v>486624.28999999992</v>
      </c>
      <c r="J86" s="98"/>
      <c r="K86" s="98" t="s">
        <v>30</v>
      </c>
      <c r="L86" s="58"/>
    </row>
    <row r="87" spans="2:14" ht="19.5" customHeight="1">
      <c r="B87" s="276" t="s">
        <v>208</v>
      </c>
      <c r="C87" s="277"/>
      <c r="D87" s="277"/>
      <c r="E87" s="277"/>
      <c r="F87" s="277"/>
      <c r="G87" s="277"/>
      <c r="H87" s="277"/>
      <c r="I87" s="278"/>
      <c r="J87" s="99"/>
      <c r="K87" s="99"/>
      <c r="L87" s="59"/>
    </row>
    <row r="88" spans="2:14" ht="30" customHeight="1">
      <c r="B88" s="334"/>
      <c r="C88" s="335"/>
      <c r="D88" s="335"/>
      <c r="E88" s="335"/>
      <c r="F88" s="335"/>
      <c r="G88" s="335"/>
      <c r="H88" s="335"/>
      <c r="I88" s="336"/>
      <c r="J88" s="86"/>
      <c r="K88" s="86"/>
      <c r="L88" s="86"/>
    </row>
    <row r="89" spans="2:14" ht="5.25" customHeight="1">
      <c r="B89" s="12"/>
      <c r="C89" s="12"/>
      <c r="D89" s="13"/>
      <c r="E89" s="14"/>
      <c r="F89" s="14"/>
      <c r="G89" s="11"/>
      <c r="H89" s="12"/>
      <c r="I89" s="12"/>
      <c r="J89" s="12"/>
      <c r="K89" s="12"/>
      <c r="L89" s="12"/>
    </row>
    <row r="90" spans="2:14">
      <c r="B90" s="12"/>
      <c r="C90" s="12"/>
      <c r="D90" s="13"/>
      <c r="E90" s="14"/>
      <c r="F90" s="14"/>
      <c r="G90" s="11"/>
      <c r="H90" s="12"/>
      <c r="I90" s="12"/>
      <c r="J90" s="12"/>
      <c r="K90" s="12"/>
      <c r="L90" s="12"/>
    </row>
    <row r="91" spans="2:14">
      <c r="B91" s="12"/>
      <c r="C91" s="12"/>
      <c r="D91" s="13"/>
      <c r="E91" s="14"/>
      <c r="F91" s="14"/>
      <c r="G91" s="11"/>
      <c r="H91" s="12"/>
      <c r="I91" s="12"/>
      <c r="J91" s="12"/>
      <c r="K91" s="12"/>
      <c r="L91" s="12"/>
    </row>
    <row r="92" spans="2:14">
      <c r="B92" s="12"/>
      <c r="C92" s="12"/>
      <c r="D92" s="13"/>
      <c r="E92" s="14"/>
      <c r="F92" s="14"/>
      <c r="G92" s="11"/>
      <c r="H92" s="12"/>
      <c r="I92" s="12"/>
      <c r="J92" s="12"/>
      <c r="K92" s="12"/>
      <c r="L92" s="12"/>
    </row>
    <row r="93" spans="2:14">
      <c r="B93" s="12"/>
      <c r="C93" s="12"/>
      <c r="D93" s="13"/>
      <c r="E93" s="14"/>
      <c r="F93" s="14"/>
      <c r="G93" s="11"/>
      <c r="H93" s="12"/>
      <c r="I93" s="12"/>
      <c r="J93" s="12"/>
      <c r="K93" s="12"/>
      <c r="L93" s="12"/>
    </row>
    <row r="94" spans="2:14">
      <c r="B94" s="12"/>
      <c r="C94" s="12"/>
      <c r="D94" s="13"/>
      <c r="E94" s="14"/>
      <c r="F94" s="14"/>
      <c r="G94" s="11"/>
      <c r="H94" s="12"/>
      <c r="I94" s="12"/>
      <c r="J94" s="12"/>
      <c r="K94" s="12"/>
      <c r="L94" s="12"/>
    </row>
    <row r="95" spans="2:14">
      <c r="B95" s="12"/>
      <c r="C95" s="12"/>
      <c r="D95" s="13"/>
      <c r="E95" s="14"/>
      <c r="F95" s="14"/>
      <c r="G95" s="11"/>
      <c r="H95" s="12"/>
      <c r="I95" s="12"/>
      <c r="J95" s="12"/>
      <c r="K95" s="12"/>
      <c r="L95" s="12"/>
    </row>
    <row r="96" spans="2:14">
      <c r="B96" s="12"/>
      <c r="C96" s="12"/>
      <c r="D96" s="13"/>
      <c r="E96" s="14"/>
      <c r="F96" s="14"/>
      <c r="G96" s="11"/>
      <c r="H96" s="12"/>
      <c r="I96" s="12"/>
      <c r="J96" s="12"/>
      <c r="K96" s="12"/>
      <c r="L96" s="12"/>
    </row>
    <row r="97" spans="2:12">
      <c r="B97" s="12"/>
      <c r="C97" s="12"/>
      <c r="D97" s="13"/>
      <c r="E97" s="14"/>
      <c r="F97" s="14"/>
      <c r="G97" s="11"/>
      <c r="H97" s="12"/>
      <c r="I97" s="12"/>
      <c r="J97" s="12"/>
      <c r="K97" s="12"/>
      <c r="L97" s="12"/>
    </row>
    <row r="98" spans="2:12">
      <c r="B98" s="12"/>
      <c r="C98" s="12"/>
      <c r="D98" s="13"/>
      <c r="E98" s="14"/>
      <c r="F98" s="14"/>
      <c r="G98" s="11"/>
      <c r="H98" s="12"/>
      <c r="I98" s="12"/>
    </row>
  </sheetData>
  <mergeCells count="68">
    <mergeCell ref="B88:I88"/>
    <mergeCell ref="N15:P15"/>
    <mergeCell ref="D46:I46"/>
    <mergeCell ref="G21:H21"/>
    <mergeCell ref="B62:F62"/>
    <mergeCell ref="B56:F56"/>
    <mergeCell ref="G50:H50"/>
    <mergeCell ref="G45:H45"/>
    <mergeCell ref="D41:I41"/>
    <mergeCell ref="G28:H28"/>
    <mergeCell ref="B28:F28"/>
    <mergeCell ref="D29:I29"/>
    <mergeCell ref="B50:F50"/>
    <mergeCell ref="D22:I22"/>
    <mergeCell ref="G40:H40"/>
    <mergeCell ref="B40:F40"/>
    <mergeCell ref="N14:P14"/>
    <mergeCell ref="J14:K14"/>
    <mergeCell ref="G70:H70"/>
    <mergeCell ref="G62:H62"/>
    <mergeCell ref="J10:K10"/>
    <mergeCell ref="N13:P13"/>
    <mergeCell ref="G56:H56"/>
    <mergeCell ref="D51:I51"/>
    <mergeCell ref="J11:K11"/>
    <mergeCell ref="J13:K13"/>
    <mergeCell ref="B70:F70"/>
    <mergeCell ref="G65:H65"/>
    <mergeCell ref="B45:F45"/>
    <mergeCell ref="G18:H18"/>
    <mergeCell ref="B18:F18"/>
    <mergeCell ref="B21:F21"/>
    <mergeCell ref="B65:F65"/>
    <mergeCell ref="D66:I66"/>
    <mergeCell ref="D71:I71"/>
    <mergeCell ref="B74:F74"/>
    <mergeCell ref="J7:K7"/>
    <mergeCell ref="F10:F12"/>
    <mergeCell ref="D10:D12"/>
    <mergeCell ref="E10:E12"/>
    <mergeCell ref="J8:K8"/>
    <mergeCell ref="B8:I8"/>
    <mergeCell ref="J9:K9"/>
    <mergeCell ref="B9:G9"/>
    <mergeCell ref="H9:I9"/>
    <mergeCell ref="B2:I2"/>
    <mergeCell ref="D19:I19"/>
    <mergeCell ref="B10:B12"/>
    <mergeCell ref="G10:I11"/>
    <mergeCell ref="B5:I5"/>
    <mergeCell ref="B6:I6"/>
    <mergeCell ref="B3:I3"/>
    <mergeCell ref="B7:G7"/>
    <mergeCell ref="H7:I7"/>
    <mergeCell ref="C10:C12"/>
    <mergeCell ref="B87:I87"/>
    <mergeCell ref="B85:F85"/>
    <mergeCell ref="G85:H85"/>
    <mergeCell ref="B86:H86"/>
    <mergeCell ref="D83:I83"/>
    <mergeCell ref="G74:H74"/>
    <mergeCell ref="B82:F82"/>
    <mergeCell ref="G82:H82"/>
    <mergeCell ref="D75:I75"/>
    <mergeCell ref="D78:I78"/>
    <mergeCell ref="B79:C79"/>
    <mergeCell ref="B77:F77"/>
    <mergeCell ref="G77:H77"/>
  </mergeCells>
  <phoneticPr fontId="0" type="noConversion"/>
  <printOptions horizontalCentered="1"/>
  <pageMargins left="0.78740157480314965" right="0" top="0.78740157480314965" bottom="0.59055118110236227" header="0.27559055118110237" footer="0.31496062992125984"/>
  <pageSetup paperSize="9" scale="95" orientation="landscape" r:id="rId1"/>
  <headerFooter alignWithMargins="0">
    <oddFooter>&amp;LSanto Antonio do Leste&amp;RMato Grosso, Brasil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6"/>
  <sheetViews>
    <sheetView showGridLines="0" workbookViewId="0">
      <selection activeCell="E7" sqref="E7"/>
    </sheetView>
  </sheetViews>
  <sheetFormatPr defaultColWidth="11.44140625" defaultRowHeight="13.2"/>
  <cols>
    <col min="1" max="1" width="0.6640625" style="10" customWidth="1"/>
    <col min="2" max="2" width="10.109375" style="10" customWidth="1"/>
    <col min="3" max="3" width="45.109375" style="10" customWidth="1"/>
    <col min="4" max="4" width="7.88671875" style="10" customWidth="1"/>
    <col min="5" max="5" width="20.88671875" style="10" customWidth="1"/>
    <col min="6" max="6" width="0.6640625" style="10" customWidth="1"/>
    <col min="7" max="16384" width="11.44140625" style="10"/>
  </cols>
  <sheetData>
    <row r="1" spans="1:6" ht="33" customHeight="1" thickBot="1"/>
    <row r="2" spans="1:6" ht="5.25" customHeight="1">
      <c r="A2" s="17"/>
      <c r="B2" s="129"/>
      <c r="C2" s="123"/>
      <c r="D2" s="123"/>
      <c r="E2" s="132"/>
      <c r="F2" s="17"/>
    </row>
    <row r="3" spans="1:6" ht="24" customHeight="1">
      <c r="A3" s="17"/>
      <c r="B3" s="358" t="s">
        <v>17</v>
      </c>
      <c r="C3" s="359"/>
      <c r="D3" s="359"/>
      <c r="E3" s="360"/>
      <c r="F3" s="17"/>
    </row>
    <row r="4" spans="1:6">
      <c r="A4" s="17"/>
      <c r="B4" s="361" t="s">
        <v>196</v>
      </c>
      <c r="C4" s="362"/>
      <c r="D4" s="362"/>
      <c r="E4" s="363"/>
      <c r="F4" s="17"/>
    </row>
    <row r="5" spans="1:6" ht="14.25" customHeight="1">
      <c r="A5" s="17"/>
      <c r="B5" s="365" t="s">
        <v>147</v>
      </c>
      <c r="C5" s="366"/>
      <c r="D5" s="366"/>
      <c r="E5" s="367"/>
      <c r="F5" s="17"/>
    </row>
    <row r="6" spans="1:6" ht="16.5" customHeight="1">
      <c r="A6" s="17"/>
      <c r="B6" s="346" t="s">
        <v>197</v>
      </c>
      <c r="C6" s="347"/>
      <c r="D6" s="347"/>
      <c r="E6" s="348"/>
      <c r="F6" s="17"/>
    </row>
    <row r="7" spans="1:6" ht="21" customHeight="1" thickBot="1">
      <c r="A7" s="17"/>
      <c r="B7" s="368" t="str">
        <f>ORCAMENTO!H9</f>
        <v>DATA:02/05/2019</v>
      </c>
      <c r="C7" s="369"/>
      <c r="D7" s="18"/>
      <c r="E7" s="176" t="str">
        <f>ORCAMENTO!H7</f>
        <v>B.D.I: 27,63%</v>
      </c>
      <c r="F7" s="128"/>
    </row>
    <row r="8" spans="1:6" ht="6.75" customHeight="1">
      <c r="A8" s="17"/>
      <c r="B8" s="131"/>
      <c r="C8" s="124"/>
      <c r="D8" s="124"/>
      <c r="E8" s="124"/>
      <c r="F8" s="17"/>
    </row>
    <row r="9" spans="1:6">
      <c r="A9" s="17"/>
      <c r="B9" s="364" t="s">
        <v>18</v>
      </c>
      <c r="C9" s="364" t="s">
        <v>7</v>
      </c>
      <c r="D9" s="364" t="s">
        <v>8</v>
      </c>
      <c r="E9" s="133" t="s">
        <v>9</v>
      </c>
      <c r="F9" s="17"/>
    </row>
    <row r="10" spans="1:6">
      <c r="A10" s="17"/>
      <c r="B10" s="364"/>
      <c r="C10" s="364"/>
      <c r="D10" s="364"/>
      <c r="E10" s="133" t="s">
        <v>10</v>
      </c>
      <c r="F10" s="17"/>
    </row>
    <row r="11" spans="1:6">
      <c r="A11" s="17"/>
      <c r="B11" s="342">
        <v>1</v>
      </c>
      <c r="C11" s="343" t="s">
        <v>19</v>
      </c>
      <c r="D11" s="344">
        <f>E11/$E$49</f>
        <v>9.698734931624561E-3</v>
      </c>
      <c r="E11" s="351">
        <f>ORCAMENTO!I18</f>
        <v>4719.6399999999994</v>
      </c>
      <c r="F11" s="17"/>
    </row>
    <row r="12" spans="1:6">
      <c r="A12" s="17"/>
      <c r="B12" s="342"/>
      <c r="C12" s="343"/>
      <c r="D12" s="344"/>
      <c r="E12" s="351"/>
      <c r="F12" s="17"/>
    </row>
    <row r="13" spans="1:6" ht="5.25" hidden="1" customHeight="1">
      <c r="A13" s="17"/>
      <c r="B13" s="342"/>
      <c r="C13" s="343"/>
      <c r="D13" s="344"/>
      <c r="E13" s="351"/>
      <c r="F13" s="17"/>
    </row>
    <row r="14" spans="1:6">
      <c r="A14" s="17"/>
      <c r="B14" s="342">
        <v>2</v>
      </c>
      <c r="C14" s="343" t="s">
        <v>20</v>
      </c>
      <c r="D14" s="344">
        <f>E14/$E$49</f>
        <v>1.3833937471555317E-2</v>
      </c>
      <c r="E14" s="345">
        <f>ORCAMENTO!I21</f>
        <v>6731.93</v>
      </c>
      <c r="F14" s="17"/>
    </row>
    <row r="15" spans="1:6">
      <c r="A15" s="17"/>
      <c r="B15" s="342"/>
      <c r="C15" s="343"/>
      <c r="D15" s="344"/>
      <c r="E15" s="345"/>
      <c r="F15" s="17"/>
    </row>
    <row r="16" spans="1:6">
      <c r="A16" s="17"/>
      <c r="B16" s="342">
        <v>3</v>
      </c>
      <c r="C16" s="343" t="s">
        <v>60</v>
      </c>
      <c r="D16" s="344">
        <f>E16/$E$49</f>
        <v>3.1934575234623001E-2</v>
      </c>
      <c r="E16" s="345">
        <f>ORCAMENTO!I28</f>
        <v>15540.14</v>
      </c>
      <c r="F16" s="17"/>
    </row>
    <row r="17" spans="1:9">
      <c r="A17" s="17"/>
      <c r="B17" s="342"/>
      <c r="C17" s="343"/>
      <c r="D17" s="344"/>
      <c r="E17" s="345"/>
      <c r="F17" s="17"/>
    </row>
    <row r="18" spans="1:9" ht="3.75" customHeight="1">
      <c r="A18" s="17"/>
      <c r="B18" s="342"/>
      <c r="C18" s="343"/>
      <c r="D18" s="344"/>
      <c r="E18" s="345"/>
      <c r="F18" s="17"/>
    </row>
    <row r="19" spans="1:9">
      <c r="A19" s="17"/>
      <c r="B19" s="342">
        <v>4</v>
      </c>
      <c r="C19" s="349" t="s">
        <v>25</v>
      </c>
      <c r="D19" s="344">
        <f>E19/$E$49</f>
        <v>0.28722838722251209</v>
      </c>
      <c r="E19" s="345">
        <f>ORCAMENTO!I40</f>
        <v>139772.31</v>
      </c>
      <c r="F19" s="17"/>
    </row>
    <row r="20" spans="1:9">
      <c r="A20" s="17"/>
      <c r="B20" s="342"/>
      <c r="C20" s="349"/>
      <c r="D20" s="344"/>
      <c r="E20" s="345"/>
      <c r="F20" s="17"/>
      <c r="I20" s="51"/>
    </row>
    <row r="21" spans="1:9" ht="4.5" customHeight="1">
      <c r="A21" s="17"/>
      <c r="B21" s="342"/>
      <c r="C21" s="349"/>
      <c r="D21" s="344"/>
      <c r="E21" s="345"/>
      <c r="F21" s="17"/>
    </row>
    <row r="22" spans="1:9" ht="13.5" customHeight="1">
      <c r="A22" s="17"/>
      <c r="B22" s="342">
        <v>5</v>
      </c>
      <c r="C22" s="343" t="s">
        <v>61</v>
      </c>
      <c r="D22" s="344">
        <f>E22/$E$49</f>
        <v>1.1336096683542043E-2</v>
      </c>
      <c r="E22" s="345">
        <f>ORCAMENTO!I45</f>
        <v>5516.42</v>
      </c>
      <c r="F22" s="17"/>
    </row>
    <row r="23" spans="1:9">
      <c r="A23" s="17"/>
      <c r="B23" s="342"/>
      <c r="C23" s="343"/>
      <c r="D23" s="344"/>
      <c r="E23" s="345"/>
      <c r="F23" s="17"/>
    </row>
    <row r="24" spans="1:9" ht="5.25" customHeight="1">
      <c r="A24" s="17"/>
      <c r="B24" s="342"/>
      <c r="C24" s="343"/>
      <c r="D24" s="344"/>
      <c r="E24" s="345"/>
      <c r="F24" s="17"/>
    </row>
    <row r="25" spans="1:9">
      <c r="A25" s="17"/>
      <c r="B25" s="350">
        <v>6</v>
      </c>
      <c r="C25" s="349" t="s">
        <v>62</v>
      </c>
      <c r="D25" s="344">
        <f>E25/$E$49</f>
        <v>6.7297442139602204E-2</v>
      </c>
      <c r="E25" s="345">
        <f>(ORCAMENTO!I50)</f>
        <v>32748.57</v>
      </c>
      <c r="F25" s="17"/>
    </row>
    <row r="26" spans="1:9">
      <c r="A26" s="17"/>
      <c r="B26" s="350"/>
      <c r="C26" s="349"/>
      <c r="D26" s="344"/>
      <c r="E26" s="345"/>
      <c r="F26" s="17"/>
    </row>
    <row r="27" spans="1:9" ht="6" customHeight="1">
      <c r="A27" s="17"/>
      <c r="B27" s="350"/>
      <c r="C27" s="349"/>
      <c r="D27" s="344"/>
      <c r="E27" s="345"/>
      <c r="F27" s="17"/>
    </row>
    <row r="28" spans="1:9">
      <c r="A28" s="17"/>
      <c r="B28" s="354">
        <v>7</v>
      </c>
      <c r="C28" s="355" t="s">
        <v>63</v>
      </c>
      <c r="D28" s="344">
        <f>E28/$E$49</f>
        <v>0.45402423294570854</v>
      </c>
      <c r="E28" s="345">
        <f>(ORCAMENTO!I56)</f>
        <v>220939.22</v>
      </c>
      <c r="F28" s="17"/>
    </row>
    <row r="29" spans="1:9" ht="11.25" customHeight="1">
      <c r="A29" s="17"/>
      <c r="B29" s="372"/>
      <c r="C29" s="370"/>
      <c r="D29" s="344"/>
      <c r="E29" s="345"/>
      <c r="F29" s="17"/>
    </row>
    <row r="30" spans="1:9" ht="6.75" customHeight="1">
      <c r="A30" s="17"/>
      <c r="B30" s="373"/>
      <c r="C30" s="371"/>
      <c r="D30" s="344"/>
      <c r="E30" s="345"/>
      <c r="F30" s="17"/>
    </row>
    <row r="31" spans="1:9">
      <c r="A31" s="17"/>
      <c r="B31" s="342">
        <v>10</v>
      </c>
      <c r="C31" s="343" t="s">
        <v>65</v>
      </c>
      <c r="D31" s="344">
        <f>E31/$E$49</f>
        <v>1.8084136326199422E-2</v>
      </c>
      <c r="E31" s="345">
        <f>(ORCAMENTO!I62)</f>
        <v>8800.18</v>
      </c>
      <c r="F31" s="17"/>
    </row>
    <row r="32" spans="1:9" ht="19.5" customHeight="1">
      <c r="A32" s="17"/>
      <c r="B32" s="342"/>
      <c r="C32" s="343"/>
      <c r="D32" s="344"/>
      <c r="E32" s="345"/>
      <c r="F32" s="17"/>
    </row>
    <row r="33" spans="1:6">
      <c r="A33" s="17"/>
      <c r="B33" s="342">
        <v>11</v>
      </c>
      <c r="C33" s="343" t="s">
        <v>26</v>
      </c>
      <c r="D33" s="344">
        <f>E33/$E$49</f>
        <v>8.5369556871071946E-3</v>
      </c>
      <c r="E33" s="345">
        <f>(ORCAMENTO!I65)</f>
        <v>4154.29</v>
      </c>
      <c r="F33" s="17"/>
    </row>
    <row r="34" spans="1:6" ht="20.25" customHeight="1">
      <c r="A34" s="17"/>
      <c r="B34" s="342"/>
      <c r="C34" s="343"/>
      <c r="D34" s="344"/>
      <c r="E34" s="345"/>
      <c r="F34" s="17"/>
    </row>
    <row r="35" spans="1:6">
      <c r="A35" s="17"/>
      <c r="B35" s="342">
        <v>12</v>
      </c>
      <c r="C35" s="343" t="s">
        <v>66</v>
      </c>
      <c r="D35" s="344">
        <f>E35/$E$49</f>
        <v>4.4158893095944729E-2</v>
      </c>
      <c r="E35" s="345">
        <f>(ORCAMENTO!I70)</f>
        <v>21488.79</v>
      </c>
      <c r="F35" s="17"/>
    </row>
    <row r="36" spans="1:6" ht="18" customHeight="1">
      <c r="A36" s="17"/>
      <c r="B36" s="342"/>
      <c r="C36" s="343"/>
      <c r="D36" s="344"/>
      <c r="E36" s="345"/>
      <c r="F36" s="17"/>
    </row>
    <row r="37" spans="1:6">
      <c r="A37" s="17"/>
      <c r="B37" s="342">
        <v>13</v>
      </c>
      <c r="C37" s="343" t="s">
        <v>193</v>
      </c>
      <c r="D37" s="344">
        <f>E37/$E$49</f>
        <v>3.9317724974230125E-2</v>
      </c>
      <c r="E37" s="345">
        <f>ORCAMENTO!I74</f>
        <v>19132.96</v>
      </c>
      <c r="F37" s="17"/>
    </row>
    <row r="38" spans="1:6">
      <c r="A38" s="17"/>
      <c r="B38" s="342"/>
      <c r="C38" s="343"/>
      <c r="D38" s="344"/>
      <c r="E38" s="345"/>
      <c r="F38" s="17"/>
    </row>
    <row r="39" spans="1:6">
      <c r="A39" s="17"/>
      <c r="B39" s="342"/>
      <c r="C39" s="343"/>
      <c r="D39" s="344"/>
      <c r="E39" s="345"/>
      <c r="F39" s="17"/>
    </row>
    <row r="40" spans="1:6">
      <c r="A40" s="17"/>
      <c r="B40" s="342">
        <v>14</v>
      </c>
      <c r="C40" s="343" t="s">
        <v>64</v>
      </c>
      <c r="D40" s="344">
        <f>E40/$E$49</f>
        <v>1.2664513725773945E-2</v>
      </c>
      <c r="E40" s="345">
        <f>ORCAMENTO!I77</f>
        <v>6162.86</v>
      </c>
      <c r="F40" s="17"/>
    </row>
    <row r="41" spans="1:6">
      <c r="A41" s="17"/>
      <c r="B41" s="342"/>
      <c r="C41" s="343"/>
      <c r="D41" s="344"/>
      <c r="E41" s="345"/>
      <c r="F41" s="17"/>
    </row>
    <row r="42" spans="1:6">
      <c r="A42" s="17"/>
      <c r="B42" s="342"/>
      <c r="C42" s="343"/>
      <c r="D42" s="344"/>
      <c r="E42" s="345"/>
      <c r="F42" s="17"/>
    </row>
    <row r="43" spans="1:6">
      <c r="A43" s="17"/>
      <c r="B43" s="342">
        <v>14</v>
      </c>
      <c r="C43" s="343" t="s">
        <v>194</v>
      </c>
      <c r="D43" s="344">
        <f>E43/$E$49</f>
        <v>1.7791138210548432E-3</v>
      </c>
      <c r="E43" s="345">
        <f>ORCAMENTO!I82</f>
        <v>865.76</v>
      </c>
      <c r="F43" s="17"/>
    </row>
    <row r="44" spans="1:6">
      <c r="A44" s="17"/>
      <c r="B44" s="342"/>
      <c r="C44" s="343"/>
      <c r="D44" s="344"/>
      <c r="E44" s="345"/>
      <c r="F44" s="17"/>
    </row>
    <row r="45" spans="1:6">
      <c r="A45" s="17"/>
      <c r="B45" s="342"/>
      <c r="C45" s="343"/>
      <c r="D45" s="344"/>
      <c r="E45" s="345"/>
      <c r="F45" s="17"/>
    </row>
    <row r="46" spans="1:6">
      <c r="A46" s="17"/>
      <c r="B46" s="342">
        <v>15</v>
      </c>
      <c r="C46" s="343" t="s">
        <v>88</v>
      </c>
      <c r="D46" s="344">
        <f>E46/$E$49</f>
        <v>1.0525574052211822E-4</v>
      </c>
      <c r="E46" s="345">
        <f>(ORCAMENTO!I85)</f>
        <v>51.22</v>
      </c>
      <c r="F46" s="17"/>
    </row>
    <row r="47" spans="1:6">
      <c r="A47" s="17"/>
      <c r="B47" s="342"/>
      <c r="C47" s="343"/>
      <c r="D47" s="344"/>
      <c r="E47" s="345"/>
      <c r="F47" s="17"/>
    </row>
    <row r="48" spans="1:6" ht="13.8" thickBot="1">
      <c r="A48" s="17"/>
      <c r="B48" s="354"/>
      <c r="C48" s="355"/>
      <c r="D48" s="356"/>
      <c r="E48" s="357"/>
      <c r="F48" s="17"/>
    </row>
    <row r="49" spans="1:6">
      <c r="A49" s="17"/>
      <c r="B49" s="352" t="s">
        <v>16</v>
      </c>
      <c r="C49" s="353"/>
      <c r="D49" s="136">
        <f>SUM(D11:D48)</f>
        <v>1.0000000000000002</v>
      </c>
      <c r="E49" s="134">
        <f>SUM(E11:E48)</f>
        <v>486624.28999999992</v>
      </c>
      <c r="F49" s="17"/>
    </row>
    <row r="50" spans="1:6" ht="5.25" customHeight="1" thickBot="1">
      <c r="A50" s="17"/>
      <c r="B50" s="130"/>
      <c r="C50" s="18"/>
      <c r="D50" s="137"/>
      <c r="E50" s="135"/>
      <c r="F50" s="17"/>
    </row>
    <row r="51" spans="1:6">
      <c r="B51" s="16"/>
      <c r="C51" s="48"/>
      <c r="D51" s="48"/>
      <c r="E51" s="48"/>
    </row>
    <row r="52" spans="1:6">
      <c r="B52" s="16"/>
      <c r="C52" s="16"/>
      <c r="D52" s="16"/>
      <c r="E52" s="16"/>
    </row>
    <row r="53" spans="1:6">
      <c r="D53" s="17"/>
      <c r="E53" s="17"/>
    </row>
    <row r="54" spans="1:6">
      <c r="D54" s="17"/>
      <c r="E54" s="49"/>
    </row>
    <row r="55" spans="1:6">
      <c r="D55" s="17"/>
      <c r="E55" s="49"/>
    </row>
    <row r="56" spans="1:6">
      <c r="E56" s="50"/>
    </row>
  </sheetData>
  <mergeCells count="65">
    <mergeCell ref="E40:E42"/>
    <mergeCell ref="E35:E36"/>
    <mergeCell ref="B37:B39"/>
    <mergeCell ref="C37:C39"/>
    <mergeCell ref="D37:D39"/>
    <mergeCell ref="B5:E5"/>
    <mergeCell ref="B7:C7"/>
    <mergeCell ref="C11:C13"/>
    <mergeCell ref="B31:B32"/>
    <mergeCell ref="C31:C32"/>
    <mergeCell ref="D31:D32"/>
    <mergeCell ref="E31:E32"/>
    <mergeCell ref="D25:D27"/>
    <mergeCell ref="C28:C30"/>
    <mergeCell ref="B28:B30"/>
    <mergeCell ref="D28:D30"/>
    <mergeCell ref="E28:E30"/>
    <mergeCell ref="B3:E3"/>
    <mergeCell ref="E22:E24"/>
    <mergeCell ref="B14:B15"/>
    <mergeCell ref="C14:C15"/>
    <mergeCell ref="D14:D15"/>
    <mergeCell ref="E14:E15"/>
    <mergeCell ref="B16:B18"/>
    <mergeCell ref="C16:C18"/>
    <mergeCell ref="D16:D18"/>
    <mergeCell ref="E16:E18"/>
    <mergeCell ref="B4:E4"/>
    <mergeCell ref="B9:B10"/>
    <mergeCell ref="C9:C10"/>
    <mergeCell ref="D9:D10"/>
    <mergeCell ref="B11:B13"/>
    <mergeCell ref="B19:B21"/>
    <mergeCell ref="B49:C49"/>
    <mergeCell ref="B33:B34"/>
    <mergeCell ref="C33:C34"/>
    <mergeCell ref="D33:D34"/>
    <mergeCell ref="E33:E34"/>
    <mergeCell ref="B35:B36"/>
    <mergeCell ref="C35:C36"/>
    <mergeCell ref="D35:D36"/>
    <mergeCell ref="E37:E39"/>
    <mergeCell ref="B40:B42"/>
    <mergeCell ref="C40:C42"/>
    <mergeCell ref="D40:D42"/>
    <mergeCell ref="B46:B48"/>
    <mergeCell ref="C46:C48"/>
    <mergeCell ref="D46:D48"/>
    <mergeCell ref="E46:E48"/>
    <mergeCell ref="B43:B45"/>
    <mergeCell ref="C43:C45"/>
    <mergeCell ref="D43:D45"/>
    <mergeCell ref="E43:E45"/>
    <mergeCell ref="B6:E6"/>
    <mergeCell ref="C19:C21"/>
    <mergeCell ref="D19:D21"/>
    <mergeCell ref="E19:E21"/>
    <mergeCell ref="B22:B24"/>
    <mergeCell ref="C22:C24"/>
    <mergeCell ref="D22:D24"/>
    <mergeCell ref="B25:B27"/>
    <mergeCell ref="C25:C27"/>
    <mergeCell ref="E25:E27"/>
    <mergeCell ref="D11:D13"/>
    <mergeCell ref="E11:E13"/>
  </mergeCells>
  <printOptions horizontalCentered="1"/>
  <pageMargins left="0.59055118110236227" right="0.59055118110236227" top="1.3779527559055118" bottom="0.78740157480314965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1"/>
  <sheetViews>
    <sheetView showGridLines="0" view="pageBreakPreview" topLeftCell="A31" zoomScaleSheetLayoutView="100" workbookViewId="0">
      <selection activeCell="C32" sqref="C32:C34"/>
    </sheetView>
  </sheetViews>
  <sheetFormatPr defaultColWidth="11.44140625" defaultRowHeight="13.2"/>
  <cols>
    <col min="1" max="1" width="0.6640625" style="10" customWidth="1"/>
    <col min="2" max="2" width="14.33203125" style="10" customWidth="1"/>
    <col min="3" max="3" width="48.5546875" style="10" customWidth="1"/>
    <col min="4" max="4" width="8" style="10" customWidth="1"/>
    <col min="5" max="5" width="14" style="10" customWidth="1"/>
    <col min="6" max="6" width="11" style="10" customWidth="1"/>
    <col min="7" max="7" width="10.33203125" style="10" customWidth="1"/>
    <col min="8" max="8" width="10" style="10" customWidth="1"/>
    <col min="9" max="9" width="9.88671875" style="10" customWidth="1"/>
    <col min="10" max="10" width="0.6640625" style="10" customWidth="1"/>
    <col min="11" max="16384" width="11.44140625" style="10"/>
  </cols>
  <sheetData>
    <row r="1" spans="1:10" ht="3.75" customHeight="1" thickBot="1">
      <c r="A1" s="117"/>
      <c r="B1" s="123"/>
      <c r="C1" s="123"/>
      <c r="D1" s="123"/>
      <c r="E1" s="123"/>
      <c r="F1" s="123"/>
      <c r="G1" s="123"/>
      <c r="H1" s="123"/>
      <c r="I1" s="123"/>
      <c r="J1" s="118"/>
    </row>
    <row r="2" spans="1:10" ht="26.25" customHeight="1">
      <c r="A2" s="119"/>
      <c r="B2" s="402" t="s">
        <v>113</v>
      </c>
      <c r="C2" s="403"/>
      <c r="D2" s="403"/>
      <c r="E2" s="403"/>
      <c r="F2" s="403"/>
      <c r="G2" s="403"/>
      <c r="H2" s="403"/>
      <c r="I2" s="404"/>
      <c r="J2" s="120"/>
    </row>
    <row r="3" spans="1:10" ht="6.6" customHeight="1">
      <c r="A3" s="119"/>
      <c r="B3" s="138"/>
      <c r="C3" s="87"/>
      <c r="D3" s="87"/>
      <c r="E3" s="87"/>
      <c r="F3" s="87"/>
      <c r="G3" s="87"/>
      <c r="H3" s="87"/>
      <c r="I3" s="139"/>
      <c r="J3" s="120"/>
    </row>
    <row r="4" spans="1:10" ht="15" customHeight="1">
      <c r="A4" s="119"/>
      <c r="B4" s="208"/>
      <c r="C4" s="397" t="str">
        <f>ORCAMENTO!B5</f>
        <v xml:space="preserve">                                    EXECUÇÃO DE OBRAS DE CONSTRUÇÃO DO PÓRTICO DE ENTRADA DA CIDADE DE SANTO ANTONIO DO LESTE-MT</v>
      </c>
      <c r="D4" s="397"/>
      <c r="E4" s="397"/>
      <c r="F4" s="397"/>
      <c r="G4" s="397"/>
      <c r="H4" s="397"/>
      <c r="I4" s="398"/>
      <c r="J4" s="120"/>
    </row>
    <row r="5" spans="1:10" ht="36" customHeight="1">
      <c r="A5" s="119"/>
      <c r="B5" s="207"/>
      <c r="C5" s="303" t="str">
        <f>ORCAMENTO!B6</f>
        <v xml:space="preserve">                                 Local da Obra: Rotatória de acesso  a Avenida Fortaleza, Jardim Santa Inês                                                 Coordenadas Geograficas da Obra: Latitude 14°48'39.5"S - Longitude 53°36'37.7"O</v>
      </c>
      <c r="D5" s="303"/>
      <c r="E5" s="303"/>
      <c r="F5" s="303"/>
      <c r="G5" s="303"/>
      <c r="H5" s="303"/>
      <c r="I5" s="399"/>
      <c r="J5" s="120"/>
    </row>
    <row r="6" spans="1:10" ht="19.5" customHeight="1">
      <c r="A6" s="119"/>
      <c r="B6" s="405" t="s">
        <v>85</v>
      </c>
      <c r="C6" s="303"/>
      <c r="D6" s="303"/>
      <c r="E6" s="303"/>
      <c r="F6" s="303"/>
      <c r="G6" s="303"/>
      <c r="H6" s="311" t="s">
        <v>68</v>
      </c>
      <c r="I6" s="406"/>
      <c r="J6" s="120"/>
    </row>
    <row r="7" spans="1:10" ht="23.25" customHeight="1" thickBot="1">
      <c r="A7" s="119"/>
      <c r="B7" s="407" t="s">
        <v>206</v>
      </c>
      <c r="C7" s="408"/>
      <c r="D7" s="408"/>
      <c r="E7" s="408"/>
      <c r="F7" s="408"/>
      <c r="G7" s="408"/>
      <c r="H7" s="408"/>
      <c r="I7" s="409"/>
      <c r="J7" s="120"/>
    </row>
    <row r="8" spans="1:10" ht="17.100000000000001" customHeight="1">
      <c r="A8" s="119"/>
      <c r="B8" s="20"/>
      <c r="C8" s="21"/>
      <c r="D8" s="21"/>
      <c r="E8" s="21"/>
      <c r="F8" s="21"/>
      <c r="G8" s="21"/>
      <c r="H8" s="21"/>
      <c r="I8" s="21"/>
      <c r="J8" s="120"/>
    </row>
    <row r="9" spans="1:10">
      <c r="A9" s="119"/>
      <c r="B9" s="392" t="s">
        <v>0</v>
      </c>
      <c r="C9" s="392" t="s">
        <v>7</v>
      </c>
      <c r="D9" s="392" t="s">
        <v>8</v>
      </c>
      <c r="E9" s="22" t="s">
        <v>9</v>
      </c>
      <c r="F9" s="392" t="s">
        <v>21</v>
      </c>
      <c r="G9" s="392" t="s">
        <v>22</v>
      </c>
      <c r="H9" s="392" t="s">
        <v>23</v>
      </c>
      <c r="I9" s="392" t="s">
        <v>24</v>
      </c>
      <c r="J9" s="120"/>
    </row>
    <row r="10" spans="1:10">
      <c r="A10" s="119"/>
      <c r="B10" s="393"/>
      <c r="C10" s="393"/>
      <c r="D10" s="393"/>
      <c r="E10" s="22" t="s">
        <v>10</v>
      </c>
      <c r="F10" s="393"/>
      <c r="G10" s="393"/>
      <c r="H10" s="393"/>
      <c r="I10" s="393"/>
      <c r="J10" s="120"/>
    </row>
    <row r="11" spans="1:10">
      <c r="A11" s="119"/>
      <c r="B11" s="354">
        <v>1</v>
      </c>
      <c r="C11" s="355" t="s">
        <v>11</v>
      </c>
      <c r="D11" s="344">
        <f>E11/$E$54+0.00001</f>
        <v>9.7087349316245606E-3</v>
      </c>
      <c r="E11" s="377">
        <f>ORCAMENTO!I18</f>
        <v>4719.6399999999994</v>
      </c>
      <c r="F11" s="23"/>
      <c r="G11" s="72"/>
      <c r="H11" s="24"/>
      <c r="I11" s="24"/>
      <c r="J11" s="120"/>
    </row>
    <row r="12" spans="1:10">
      <c r="A12" s="119"/>
      <c r="B12" s="372"/>
      <c r="C12" s="370"/>
      <c r="D12" s="344"/>
      <c r="E12" s="378"/>
      <c r="F12" s="25">
        <v>1</v>
      </c>
      <c r="G12" s="25"/>
      <c r="H12" s="26"/>
      <c r="I12" s="26"/>
      <c r="J12" s="120"/>
    </row>
    <row r="13" spans="1:10">
      <c r="A13" s="119"/>
      <c r="B13" s="373"/>
      <c r="C13" s="371"/>
      <c r="D13" s="344"/>
      <c r="E13" s="379"/>
      <c r="F13" s="27">
        <f>(F12*E11)</f>
        <v>4719.6399999999994</v>
      </c>
      <c r="G13" s="28"/>
      <c r="H13" s="29"/>
      <c r="I13" s="28"/>
      <c r="J13" s="120"/>
    </row>
    <row r="14" spans="1:10">
      <c r="A14" s="119"/>
      <c r="B14" s="354">
        <v>2</v>
      </c>
      <c r="C14" s="355" t="s">
        <v>12</v>
      </c>
      <c r="D14" s="344">
        <f>E14/$E$54</f>
        <v>1.3833937471555317E-2</v>
      </c>
      <c r="E14" s="377">
        <f>ORCAMENTO!I21</f>
        <v>6731.93</v>
      </c>
      <c r="F14" s="30"/>
      <c r="G14" s="31"/>
      <c r="H14" s="32"/>
      <c r="I14" s="33"/>
      <c r="J14" s="120"/>
    </row>
    <row r="15" spans="1:10">
      <c r="A15" s="119"/>
      <c r="B15" s="372"/>
      <c r="C15" s="370"/>
      <c r="D15" s="344"/>
      <c r="E15" s="378"/>
      <c r="F15" s="25">
        <v>1</v>
      </c>
      <c r="G15" s="25"/>
      <c r="H15" s="26"/>
      <c r="I15" s="26"/>
      <c r="J15" s="120"/>
    </row>
    <row r="16" spans="1:10">
      <c r="A16" s="119"/>
      <c r="B16" s="373"/>
      <c r="C16" s="371"/>
      <c r="D16" s="344"/>
      <c r="E16" s="379"/>
      <c r="F16" s="27">
        <f>F15*E14</f>
        <v>6731.93</v>
      </c>
      <c r="G16" s="27"/>
      <c r="H16" s="29"/>
      <c r="I16" s="28"/>
      <c r="J16" s="120"/>
    </row>
    <row r="17" spans="1:10">
      <c r="A17" s="119"/>
      <c r="B17" s="354">
        <v>3</v>
      </c>
      <c r="C17" s="355" t="s">
        <v>60</v>
      </c>
      <c r="D17" s="344">
        <f>E17/$E$54</f>
        <v>3.1934575234623001E-2</v>
      </c>
      <c r="E17" s="377">
        <f>ORCAMENTO!I28</f>
        <v>15540.14</v>
      </c>
      <c r="F17" s="34"/>
      <c r="G17" s="394"/>
      <c r="H17" s="374"/>
      <c r="I17" s="33"/>
      <c r="J17" s="120"/>
    </row>
    <row r="18" spans="1:10">
      <c r="A18" s="119"/>
      <c r="B18" s="372"/>
      <c r="C18" s="370"/>
      <c r="D18" s="344"/>
      <c r="E18" s="378"/>
      <c r="F18" s="25">
        <v>1</v>
      </c>
      <c r="G18" s="395"/>
      <c r="H18" s="375"/>
      <c r="I18" s="26"/>
      <c r="J18" s="120"/>
    </row>
    <row r="19" spans="1:10">
      <c r="A19" s="119"/>
      <c r="B19" s="373"/>
      <c r="C19" s="371"/>
      <c r="D19" s="344"/>
      <c r="E19" s="379"/>
      <c r="F19" s="27">
        <f>F18*E17</f>
        <v>15540.14</v>
      </c>
      <c r="G19" s="396"/>
      <c r="H19" s="376"/>
      <c r="I19" s="28"/>
      <c r="J19" s="120"/>
    </row>
    <row r="20" spans="1:10">
      <c r="A20" s="119"/>
      <c r="B20" s="354">
        <v>4</v>
      </c>
      <c r="C20" s="355" t="s">
        <v>25</v>
      </c>
      <c r="D20" s="344">
        <f>E20/$E$54</f>
        <v>0.28722838722251209</v>
      </c>
      <c r="E20" s="377">
        <f>ORCAMENTO!I40</f>
        <v>139772.31</v>
      </c>
      <c r="F20" s="34"/>
      <c r="G20" s="394"/>
      <c r="H20" s="374"/>
      <c r="I20" s="33"/>
      <c r="J20" s="120"/>
    </row>
    <row r="21" spans="1:10">
      <c r="A21" s="119"/>
      <c r="B21" s="372"/>
      <c r="C21" s="370"/>
      <c r="D21" s="344"/>
      <c r="E21" s="378"/>
      <c r="F21" s="25">
        <v>1</v>
      </c>
      <c r="G21" s="395"/>
      <c r="H21" s="375"/>
      <c r="I21" s="26"/>
      <c r="J21" s="120"/>
    </row>
    <row r="22" spans="1:10">
      <c r="A22" s="119"/>
      <c r="B22" s="373"/>
      <c r="C22" s="371"/>
      <c r="D22" s="344"/>
      <c r="E22" s="379"/>
      <c r="F22" s="27">
        <f>F21*E20</f>
        <v>139772.31</v>
      </c>
      <c r="G22" s="396"/>
      <c r="H22" s="376"/>
      <c r="I22" s="28"/>
      <c r="J22" s="120"/>
    </row>
    <row r="23" spans="1:10">
      <c r="A23" s="119"/>
      <c r="B23" s="354">
        <v>5</v>
      </c>
      <c r="C23" s="355" t="s">
        <v>61</v>
      </c>
      <c r="D23" s="344">
        <f>E23/$E$54</f>
        <v>1.1336096683542043E-2</v>
      </c>
      <c r="E23" s="378">
        <f>ORCAMENTO!I45</f>
        <v>5516.42</v>
      </c>
      <c r="F23" s="34"/>
      <c r="G23" s="394"/>
      <c r="H23" s="374"/>
      <c r="I23" s="33"/>
      <c r="J23" s="120"/>
    </row>
    <row r="24" spans="1:10">
      <c r="A24" s="119"/>
      <c r="B24" s="372"/>
      <c r="C24" s="370"/>
      <c r="D24" s="344"/>
      <c r="E24" s="378"/>
      <c r="F24" s="25">
        <v>1</v>
      </c>
      <c r="G24" s="395"/>
      <c r="H24" s="375"/>
      <c r="I24" s="26"/>
      <c r="J24" s="120"/>
    </row>
    <row r="25" spans="1:10">
      <c r="A25" s="119"/>
      <c r="B25" s="373"/>
      <c r="C25" s="371"/>
      <c r="D25" s="344"/>
      <c r="E25" s="379"/>
      <c r="F25" s="27">
        <f>F24*E23</f>
        <v>5516.42</v>
      </c>
      <c r="G25" s="396"/>
      <c r="H25" s="376"/>
      <c r="I25" s="28"/>
      <c r="J25" s="120"/>
    </row>
    <row r="26" spans="1:10">
      <c r="A26" s="119"/>
      <c r="B26" s="354">
        <v>6</v>
      </c>
      <c r="C26" s="355" t="s">
        <v>62</v>
      </c>
      <c r="D26" s="344">
        <f>E26/$E$54</f>
        <v>6.7297442139602204E-2</v>
      </c>
      <c r="E26" s="377">
        <f>ORCAMENTO!I50</f>
        <v>32748.57</v>
      </c>
      <c r="F26" s="34"/>
      <c r="G26" s="394"/>
      <c r="H26" s="374"/>
      <c r="I26" s="33"/>
      <c r="J26" s="120"/>
    </row>
    <row r="27" spans="1:10">
      <c r="A27" s="119"/>
      <c r="B27" s="372"/>
      <c r="C27" s="370"/>
      <c r="D27" s="344"/>
      <c r="E27" s="378"/>
      <c r="F27" s="25">
        <v>1</v>
      </c>
      <c r="G27" s="395"/>
      <c r="H27" s="375"/>
      <c r="I27" s="26"/>
      <c r="J27" s="120"/>
    </row>
    <row r="28" spans="1:10">
      <c r="A28" s="119"/>
      <c r="B28" s="373"/>
      <c r="C28" s="371"/>
      <c r="D28" s="344"/>
      <c r="E28" s="379"/>
      <c r="F28" s="27">
        <f>F27*E26</f>
        <v>32748.57</v>
      </c>
      <c r="G28" s="396"/>
      <c r="H28" s="376"/>
      <c r="I28" s="28"/>
      <c r="J28" s="120"/>
    </row>
    <row r="29" spans="1:10">
      <c r="A29" s="119"/>
      <c r="B29" s="354">
        <v>7</v>
      </c>
      <c r="C29" s="389" t="s">
        <v>13</v>
      </c>
      <c r="D29" s="344">
        <f>E29/$E$54</f>
        <v>0.45402423294570854</v>
      </c>
      <c r="E29" s="377">
        <f>ORCAMENTO!I56</f>
        <v>220939.22</v>
      </c>
      <c r="F29" s="35"/>
      <c r="G29" s="35"/>
      <c r="H29" s="39"/>
      <c r="I29" s="40"/>
      <c r="J29" s="120"/>
    </row>
    <row r="30" spans="1:10">
      <c r="A30" s="119"/>
      <c r="B30" s="372"/>
      <c r="C30" s="390"/>
      <c r="D30" s="344"/>
      <c r="E30" s="378"/>
      <c r="F30" s="26">
        <v>0.5</v>
      </c>
      <c r="G30" s="26">
        <v>0.5</v>
      </c>
      <c r="H30" s="37"/>
      <c r="I30" s="37"/>
      <c r="J30" s="120"/>
    </row>
    <row r="31" spans="1:10">
      <c r="A31" s="119"/>
      <c r="B31" s="373"/>
      <c r="C31" s="391"/>
      <c r="D31" s="344"/>
      <c r="E31" s="379"/>
      <c r="F31" s="28">
        <f>F30*E29</f>
        <v>110469.61</v>
      </c>
      <c r="G31" s="28">
        <f>G30*E29</f>
        <v>110469.61</v>
      </c>
      <c r="H31" s="41"/>
      <c r="I31" s="41"/>
      <c r="J31" s="120"/>
    </row>
    <row r="32" spans="1:10">
      <c r="A32" s="119"/>
      <c r="B32" s="354">
        <v>10</v>
      </c>
      <c r="C32" s="355" t="s">
        <v>65</v>
      </c>
      <c r="D32" s="344">
        <f>E32/$E$54</f>
        <v>1.8084136326199422E-2</v>
      </c>
      <c r="E32" s="377">
        <f>ORCAMENTO!I62</f>
        <v>8800.18</v>
      </c>
      <c r="F32" s="400"/>
      <c r="G32" s="35"/>
      <c r="H32" s="374"/>
      <c r="I32" s="38"/>
      <c r="J32" s="120"/>
    </row>
    <row r="33" spans="1:10">
      <c r="A33" s="119"/>
      <c r="B33" s="372"/>
      <c r="C33" s="370"/>
      <c r="D33" s="344"/>
      <c r="E33" s="378"/>
      <c r="F33" s="400"/>
      <c r="G33" s="36">
        <v>1</v>
      </c>
      <c r="H33" s="375"/>
      <c r="I33" s="26"/>
      <c r="J33" s="120"/>
    </row>
    <row r="34" spans="1:10">
      <c r="A34" s="119"/>
      <c r="B34" s="373"/>
      <c r="C34" s="370"/>
      <c r="D34" s="344"/>
      <c r="E34" s="379"/>
      <c r="F34" s="401"/>
      <c r="G34" s="28">
        <f>G33*E32</f>
        <v>8800.18</v>
      </c>
      <c r="H34" s="376"/>
      <c r="I34" s="28"/>
      <c r="J34" s="120"/>
    </row>
    <row r="35" spans="1:10">
      <c r="A35" s="119"/>
      <c r="B35" s="354">
        <v>11</v>
      </c>
      <c r="C35" s="389" t="s">
        <v>26</v>
      </c>
      <c r="D35" s="344">
        <f>E35/$E$54</f>
        <v>8.5369556871071946E-3</v>
      </c>
      <c r="E35" s="377">
        <f>ORCAMENTO!I65</f>
        <v>4154.29</v>
      </c>
      <c r="F35" s="42"/>
      <c r="G35" s="374"/>
      <c r="H35" s="35"/>
      <c r="I35" s="35"/>
      <c r="J35" s="120"/>
    </row>
    <row r="36" spans="1:10">
      <c r="A36" s="119"/>
      <c r="B36" s="372"/>
      <c r="C36" s="390"/>
      <c r="D36" s="344"/>
      <c r="E36" s="378"/>
      <c r="F36" s="25"/>
      <c r="G36" s="375"/>
      <c r="H36" s="26">
        <v>0.5</v>
      </c>
      <c r="I36" s="26">
        <v>0.5</v>
      </c>
      <c r="J36" s="120"/>
    </row>
    <row r="37" spans="1:10">
      <c r="A37" s="119"/>
      <c r="B37" s="373"/>
      <c r="C37" s="391"/>
      <c r="D37" s="344"/>
      <c r="E37" s="379"/>
      <c r="F37" s="27"/>
      <c r="G37" s="376"/>
      <c r="H37" s="29">
        <f>H36*E35</f>
        <v>2077.145</v>
      </c>
      <c r="I37" s="29">
        <f>I36*E35</f>
        <v>2077.145</v>
      </c>
      <c r="J37" s="120"/>
    </row>
    <row r="38" spans="1:10">
      <c r="A38" s="119"/>
      <c r="B38" s="354">
        <v>12</v>
      </c>
      <c r="C38" s="389" t="s">
        <v>14</v>
      </c>
      <c r="D38" s="344">
        <f>E38/$E$54</f>
        <v>4.4158893095944729E-2</v>
      </c>
      <c r="E38" s="377">
        <f>ORCAMENTO!I70</f>
        <v>21488.79</v>
      </c>
      <c r="F38" s="42"/>
      <c r="G38" s="35"/>
      <c r="H38" s="35"/>
      <c r="I38" s="35"/>
      <c r="J38" s="120"/>
    </row>
    <row r="39" spans="1:10">
      <c r="A39" s="119"/>
      <c r="B39" s="372"/>
      <c r="C39" s="390"/>
      <c r="D39" s="344"/>
      <c r="E39" s="378"/>
      <c r="F39" s="25"/>
      <c r="G39" s="36">
        <v>0.2</v>
      </c>
      <c r="H39" s="36">
        <v>0.4</v>
      </c>
      <c r="I39" s="26">
        <v>0.4</v>
      </c>
      <c r="J39" s="120"/>
    </row>
    <row r="40" spans="1:10">
      <c r="A40" s="119"/>
      <c r="B40" s="373"/>
      <c r="C40" s="391"/>
      <c r="D40" s="344"/>
      <c r="E40" s="379"/>
      <c r="F40" s="27"/>
      <c r="G40" s="28">
        <f>G39*E38</f>
        <v>4297.7580000000007</v>
      </c>
      <c r="H40" s="28">
        <f>H39*E38</f>
        <v>8595.5160000000014</v>
      </c>
      <c r="I40" s="29">
        <f>I39*E38</f>
        <v>8595.5160000000014</v>
      </c>
      <c r="J40" s="120"/>
    </row>
    <row r="41" spans="1:10">
      <c r="A41" s="119"/>
      <c r="B41" s="354">
        <v>13</v>
      </c>
      <c r="C41" s="355" t="s">
        <v>193</v>
      </c>
      <c r="D41" s="344">
        <f>E41/$E$54</f>
        <v>3.9317724974230125E-2</v>
      </c>
      <c r="E41" s="377">
        <f>RESUMO!E37</f>
        <v>19132.96</v>
      </c>
      <c r="F41" s="42"/>
      <c r="G41" s="35"/>
      <c r="H41" s="35"/>
      <c r="I41" s="35"/>
      <c r="J41" s="120"/>
    </row>
    <row r="42" spans="1:10">
      <c r="A42" s="119"/>
      <c r="B42" s="372"/>
      <c r="C42" s="370"/>
      <c r="D42" s="344"/>
      <c r="E42" s="378"/>
      <c r="F42" s="25"/>
      <c r="G42" s="36">
        <v>0.2</v>
      </c>
      <c r="H42" s="36">
        <v>0.4</v>
      </c>
      <c r="I42" s="26">
        <v>0.4</v>
      </c>
      <c r="J42" s="120"/>
    </row>
    <row r="43" spans="1:10">
      <c r="A43" s="119"/>
      <c r="B43" s="373"/>
      <c r="C43" s="371"/>
      <c r="D43" s="344"/>
      <c r="E43" s="379"/>
      <c r="F43" s="27"/>
      <c r="G43" s="28">
        <f>G42*E41</f>
        <v>3826.5920000000001</v>
      </c>
      <c r="H43" s="28">
        <f>H42*E41</f>
        <v>7653.1840000000002</v>
      </c>
      <c r="I43" s="29">
        <f>I42*E41</f>
        <v>7653.1840000000002</v>
      </c>
      <c r="J43" s="120"/>
    </row>
    <row r="44" spans="1:10">
      <c r="A44" s="119"/>
      <c r="B44" s="354">
        <v>14</v>
      </c>
      <c r="C44" s="355" t="s">
        <v>64</v>
      </c>
      <c r="D44" s="344">
        <f>E44/$E$54</f>
        <v>1.2664513725773945E-2</v>
      </c>
      <c r="E44" s="377">
        <f>RESUMO!E40</f>
        <v>6162.86</v>
      </c>
      <c r="F44" s="42"/>
      <c r="G44" s="35"/>
      <c r="H44" s="35"/>
      <c r="I44" s="35"/>
      <c r="J44" s="120"/>
    </row>
    <row r="45" spans="1:10">
      <c r="A45" s="119"/>
      <c r="B45" s="372"/>
      <c r="C45" s="370"/>
      <c r="D45" s="344"/>
      <c r="E45" s="378"/>
      <c r="F45" s="25"/>
      <c r="G45" s="36">
        <v>0.1</v>
      </c>
      <c r="H45" s="36">
        <v>0.4</v>
      </c>
      <c r="I45" s="26">
        <v>0.5</v>
      </c>
      <c r="J45" s="120"/>
    </row>
    <row r="46" spans="1:10">
      <c r="A46" s="119"/>
      <c r="B46" s="373"/>
      <c r="C46" s="371"/>
      <c r="D46" s="344"/>
      <c r="E46" s="379"/>
      <c r="F46" s="27"/>
      <c r="G46" s="28">
        <f>G45*E44</f>
        <v>616.28600000000006</v>
      </c>
      <c r="H46" s="28">
        <f>H45*E44</f>
        <v>2465.1440000000002</v>
      </c>
      <c r="I46" s="29">
        <f>I45*E44</f>
        <v>3081.43</v>
      </c>
      <c r="J46" s="120"/>
    </row>
    <row r="47" spans="1:10">
      <c r="A47" s="119"/>
      <c r="B47" s="354">
        <v>15</v>
      </c>
      <c r="C47" s="355" t="s">
        <v>67</v>
      </c>
      <c r="D47" s="344">
        <f>E47/$E$54</f>
        <v>1.7791138210548432E-3</v>
      </c>
      <c r="E47" s="377">
        <f>RESUMO!E43</f>
        <v>865.76</v>
      </c>
      <c r="F47" s="42"/>
      <c r="G47" s="374"/>
      <c r="H47" s="374"/>
      <c r="I47" s="35"/>
      <c r="J47" s="120"/>
    </row>
    <row r="48" spans="1:10">
      <c r="A48" s="119"/>
      <c r="B48" s="372"/>
      <c r="C48" s="370"/>
      <c r="D48" s="344"/>
      <c r="E48" s="378"/>
      <c r="F48" s="25"/>
      <c r="G48" s="375"/>
      <c r="H48" s="375"/>
      <c r="I48" s="26">
        <v>1</v>
      </c>
      <c r="J48" s="120"/>
    </row>
    <row r="49" spans="1:10">
      <c r="A49" s="119"/>
      <c r="B49" s="373"/>
      <c r="C49" s="371"/>
      <c r="D49" s="344"/>
      <c r="E49" s="379"/>
      <c r="F49" s="27"/>
      <c r="G49" s="376"/>
      <c r="H49" s="376"/>
      <c r="I49" s="29">
        <f>I48*E47</f>
        <v>865.76</v>
      </c>
      <c r="J49" s="120"/>
    </row>
    <row r="50" spans="1:10" ht="14.25" customHeight="1">
      <c r="A50" s="119"/>
      <c r="B50" s="354">
        <v>16</v>
      </c>
      <c r="C50" s="104"/>
      <c r="D50" s="356">
        <f>E50/$E$54</f>
        <v>1.0525574052211822E-4</v>
      </c>
      <c r="E50" s="377">
        <f>ORCAMENTO!I85</f>
        <v>51.22</v>
      </c>
      <c r="F50" s="42"/>
      <c r="G50" s="68"/>
      <c r="H50" s="43"/>
      <c r="I50" s="30"/>
      <c r="J50" s="120"/>
    </row>
    <row r="51" spans="1:10" ht="21" customHeight="1">
      <c r="A51" s="119"/>
      <c r="B51" s="372"/>
      <c r="C51" s="105" t="s">
        <v>88</v>
      </c>
      <c r="D51" s="381"/>
      <c r="E51" s="378"/>
      <c r="F51" s="25"/>
      <c r="G51" s="25"/>
      <c r="H51" s="25"/>
      <c r="I51" s="36">
        <v>1</v>
      </c>
      <c r="J51" s="120"/>
    </row>
    <row r="52" spans="1:10" ht="13.8" thickBot="1">
      <c r="A52" s="119"/>
      <c r="B52" s="388"/>
      <c r="C52" s="69"/>
      <c r="D52" s="382"/>
      <c r="E52" s="383"/>
      <c r="F52" s="70"/>
      <c r="G52" s="70"/>
      <c r="H52" s="70"/>
      <c r="I52" s="71">
        <f>I51*E50</f>
        <v>51.22</v>
      </c>
      <c r="J52" s="120"/>
    </row>
    <row r="53" spans="1:10" ht="13.8" thickTop="1">
      <c r="A53" s="119"/>
      <c r="B53" s="384" t="s">
        <v>15</v>
      </c>
      <c r="C53" s="385"/>
      <c r="D53" s="44"/>
      <c r="E53" s="44"/>
      <c r="F53" s="28">
        <f>SUM(F13,F16,F19,F22,F25,F28,F31)</f>
        <v>315498.62</v>
      </c>
      <c r="G53" s="28">
        <f>SUM(G31+G46,G43,G40,G34)</f>
        <v>128010.42600000001</v>
      </c>
      <c r="H53" s="28">
        <f>SUM(H46,H43,H40,H37,)</f>
        <v>20790.989000000005</v>
      </c>
      <c r="I53" s="28">
        <f>SUM(I52,I46,I43,I40,I37,I49)</f>
        <v>22324.254999999997</v>
      </c>
      <c r="J53" s="120"/>
    </row>
    <row r="54" spans="1:10">
      <c r="A54" s="119"/>
      <c r="B54" s="384" t="s">
        <v>16</v>
      </c>
      <c r="C54" s="385"/>
      <c r="D54" s="45">
        <f>SUM(D11:D53)</f>
        <v>1.0000100000000003</v>
      </c>
      <c r="E54" s="46">
        <f>SUM(E11:E52)</f>
        <v>486624.28999999992</v>
      </c>
      <c r="F54" s="47">
        <f>+F53</f>
        <v>315498.62</v>
      </c>
      <c r="G54" s="47">
        <f>+F54+G53</f>
        <v>443509.04599999997</v>
      </c>
      <c r="H54" s="47">
        <f>+G54+H53</f>
        <v>464300.03499999997</v>
      </c>
      <c r="I54" s="165">
        <f>+H54+I53</f>
        <v>486624.29</v>
      </c>
      <c r="J54" s="120"/>
    </row>
    <row r="55" spans="1:10">
      <c r="A55" s="119"/>
      <c r="B55" s="124"/>
      <c r="C55" s="124"/>
      <c r="D55" s="124"/>
      <c r="E55" s="124"/>
      <c r="F55" s="124"/>
      <c r="G55" s="124"/>
      <c r="H55" s="124"/>
      <c r="I55" s="124"/>
      <c r="J55" s="120"/>
    </row>
    <row r="56" spans="1:10">
      <c r="A56" s="119"/>
      <c r="B56" s="124"/>
      <c r="C56" s="125"/>
      <c r="D56" s="125"/>
      <c r="E56" s="125"/>
      <c r="F56" s="124"/>
      <c r="G56" s="124"/>
      <c r="H56" s="124"/>
      <c r="I56" s="124"/>
      <c r="J56" s="120"/>
    </row>
    <row r="57" spans="1:10">
      <c r="A57" s="119"/>
      <c r="B57" s="124"/>
      <c r="C57" s="146"/>
      <c r="D57" s="124"/>
      <c r="E57" s="124"/>
      <c r="F57" s="126"/>
      <c r="G57" s="126"/>
      <c r="H57" s="124"/>
      <c r="I57" s="124"/>
      <c r="J57" s="120"/>
    </row>
    <row r="58" spans="1:10">
      <c r="A58" s="119"/>
      <c r="B58" s="17"/>
      <c r="C58" s="17"/>
      <c r="D58" s="17"/>
      <c r="E58" s="17"/>
      <c r="F58" s="17"/>
      <c r="G58" s="17"/>
      <c r="H58" s="17"/>
      <c r="I58" s="17"/>
      <c r="J58" s="120"/>
    </row>
    <row r="59" spans="1:10" ht="13.8" thickBot="1">
      <c r="A59" s="121"/>
      <c r="B59" s="19"/>
      <c r="C59" s="19"/>
      <c r="D59" s="19"/>
      <c r="E59" s="386"/>
      <c r="F59" s="386"/>
      <c r="G59" s="386"/>
      <c r="H59" s="19"/>
      <c r="I59" s="19"/>
      <c r="J59" s="122"/>
    </row>
    <row r="60" spans="1:10">
      <c r="D60" s="17"/>
      <c r="E60" s="387"/>
      <c r="F60" s="387"/>
      <c r="G60" s="387"/>
      <c r="H60" s="17"/>
    </row>
    <row r="61" spans="1:10">
      <c r="E61" s="380"/>
      <c r="F61" s="380"/>
      <c r="G61" s="380"/>
    </row>
  </sheetData>
  <mergeCells count="86">
    <mergeCell ref="C4:I4"/>
    <mergeCell ref="C5:I5"/>
    <mergeCell ref="F32:F34"/>
    <mergeCell ref="B2:I2"/>
    <mergeCell ref="B6:G6"/>
    <mergeCell ref="H6:I6"/>
    <mergeCell ref="B7:I7"/>
    <mergeCell ref="E32:E34"/>
    <mergeCell ref="H32:H34"/>
    <mergeCell ref="D11:D13"/>
    <mergeCell ref="E11:E13"/>
    <mergeCell ref="C26:C28"/>
    <mergeCell ref="B32:B34"/>
    <mergeCell ref="C32:C34"/>
    <mergeCell ref="D32:D34"/>
    <mergeCell ref="B14:B16"/>
    <mergeCell ref="B11:B13"/>
    <mergeCell ref="C14:C16"/>
    <mergeCell ref="D14:D16"/>
    <mergeCell ref="E14:E16"/>
    <mergeCell ref="E44:E46"/>
    <mergeCell ref="B41:B43"/>
    <mergeCell ref="B44:B46"/>
    <mergeCell ref="C44:C46"/>
    <mergeCell ref="D44:D46"/>
    <mergeCell ref="C41:C43"/>
    <mergeCell ref="D41:D43"/>
    <mergeCell ref="E23:E25"/>
    <mergeCell ref="B20:B22"/>
    <mergeCell ref="B23:B25"/>
    <mergeCell ref="C23:C25"/>
    <mergeCell ref="D23:D25"/>
    <mergeCell ref="B9:B10"/>
    <mergeCell ref="C9:C10"/>
    <mergeCell ref="D9:D10"/>
    <mergeCell ref="F9:F10"/>
    <mergeCell ref="G9:G10"/>
    <mergeCell ref="G23:G25"/>
    <mergeCell ref="G26:G28"/>
    <mergeCell ref="H26:H28"/>
    <mergeCell ref="H23:H25"/>
    <mergeCell ref="E20:E22"/>
    <mergeCell ref="H9:H10"/>
    <mergeCell ref="I9:I10"/>
    <mergeCell ref="C11:C13"/>
    <mergeCell ref="H17:H19"/>
    <mergeCell ref="G20:G22"/>
    <mergeCell ref="H20:H22"/>
    <mergeCell ref="D17:D19"/>
    <mergeCell ref="E17:E19"/>
    <mergeCell ref="G17:G19"/>
    <mergeCell ref="C17:C19"/>
    <mergeCell ref="D20:D22"/>
    <mergeCell ref="C20:C22"/>
    <mergeCell ref="B17:B19"/>
    <mergeCell ref="B26:B28"/>
    <mergeCell ref="E61:G61"/>
    <mergeCell ref="D50:D52"/>
    <mergeCell ref="E50:E52"/>
    <mergeCell ref="B53:C53"/>
    <mergeCell ref="B54:C54"/>
    <mergeCell ref="E59:G59"/>
    <mergeCell ref="E60:G60"/>
    <mergeCell ref="B50:B52"/>
    <mergeCell ref="D26:D28"/>
    <mergeCell ref="E26:E28"/>
    <mergeCell ref="E41:E43"/>
    <mergeCell ref="E29:E31"/>
    <mergeCell ref="B29:B31"/>
    <mergeCell ref="C29:C31"/>
    <mergeCell ref="H47:H49"/>
    <mergeCell ref="G47:G49"/>
    <mergeCell ref="D29:D31"/>
    <mergeCell ref="B47:B49"/>
    <mergeCell ref="C47:C49"/>
    <mergeCell ref="D47:D49"/>
    <mergeCell ref="E47:E49"/>
    <mergeCell ref="G35:G37"/>
    <mergeCell ref="D35:D37"/>
    <mergeCell ref="B38:B40"/>
    <mergeCell ref="C38:C40"/>
    <mergeCell ref="D38:D40"/>
    <mergeCell ref="E38:E40"/>
    <mergeCell ref="B35:B37"/>
    <mergeCell ref="C35:C37"/>
    <mergeCell ref="E35:E37"/>
  </mergeCells>
  <printOptions horizontalCentered="1"/>
  <pageMargins left="0.39370078740157483" right="0.11811023622047245" top="1.1417322834645669" bottom="0.43307086614173229" header="0" footer="0.31496062992125984"/>
  <pageSetup paperSize="9" scale="75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J28"/>
  <sheetViews>
    <sheetView tabSelected="1" view="pageBreakPreview" topLeftCell="A19" zoomScaleSheetLayoutView="100" workbookViewId="0">
      <selection activeCell="E9" sqref="E9"/>
    </sheetView>
  </sheetViews>
  <sheetFormatPr defaultRowHeight="13.2"/>
  <cols>
    <col min="2" max="2" width="0.77734375" style="241" customWidth="1"/>
    <col min="3" max="3" width="21.88671875" customWidth="1"/>
    <col min="4" max="4" width="54.109375" bestFit="1" customWidth="1"/>
    <col min="5" max="5" width="32.21875" customWidth="1"/>
    <col min="6" max="6" width="22.109375" customWidth="1"/>
    <col min="7" max="7" width="11.5546875" bestFit="1" customWidth="1"/>
    <col min="8" max="8" width="11.44140625" customWidth="1"/>
    <col min="9" max="9" width="0.6640625" customWidth="1"/>
  </cols>
  <sheetData>
    <row r="1" spans="2:10" ht="18.75" customHeight="1" thickBot="1"/>
    <row r="2" spans="2:10" ht="3.75" customHeight="1">
      <c r="B2" s="251"/>
      <c r="C2" s="110"/>
      <c r="D2" s="110"/>
      <c r="E2" s="111"/>
      <c r="F2" s="110"/>
      <c r="G2" s="110"/>
      <c r="H2" s="238"/>
      <c r="I2" s="112"/>
      <c r="J2" s="102"/>
    </row>
    <row r="3" spans="2:10" ht="22.5" customHeight="1">
      <c r="B3" s="252"/>
      <c r="C3" s="423" t="s">
        <v>86</v>
      </c>
      <c r="D3" s="424"/>
      <c r="E3" s="424"/>
      <c r="F3" s="424"/>
      <c r="G3" s="424"/>
      <c r="H3" s="425"/>
      <c r="I3" s="113"/>
      <c r="J3" s="102"/>
    </row>
    <row r="4" spans="2:10" ht="16.5" customHeight="1">
      <c r="B4" s="252"/>
      <c r="C4" s="412" t="str">
        <f>ORCAMENTO!B5</f>
        <v xml:space="preserve">                                    EXECUÇÃO DE OBRAS DE CONSTRUÇÃO DO PÓRTICO DE ENTRADA DA CIDADE DE SANTO ANTONIO DO LESTE-MT</v>
      </c>
      <c r="D4" s="426"/>
      <c r="E4" s="426"/>
      <c r="F4" s="426"/>
      <c r="G4" s="426"/>
      <c r="H4" s="413"/>
      <c r="I4" s="113"/>
      <c r="J4" s="102"/>
    </row>
    <row r="5" spans="2:10" ht="13.8" thickBot="1">
      <c r="B5" s="252"/>
      <c r="C5" s="427" t="s">
        <v>202</v>
      </c>
      <c r="D5" s="428"/>
      <c r="E5" s="428"/>
      <c r="F5" s="428"/>
      <c r="G5" s="428"/>
      <c r="H5" s="429"/>
      <c r="I5" s="113"/>
      <c r="J5" s="102"/>
    </row>
    <row r="6" spans="2:10" ht="13.8" thickBot="1">
      <c r="B6" s="252"/>
      <c r="C6" s="243"/>
      <c r="D6" s="52"/>
      <c r="E6" s="103"/>
      <c r="F6" s="52"/>
      <c r="G6" s="52"/>
      <c r="H6" s="244"/>
      <c r="I6" s="113"/>
      <c r="J6" s="102"/>
    </row>
    <row r="7" spans="2:10" ht="66.599999999999994" customHeight="1" thickBot="1">
      <c r="B7" s="253"/>
      <c r="C7" s="245" t="s">
        <v>105</v>
      </c>
      <c r="D7" s="416" t="s">
        <v>179</v>
      </c>
      <c r="E7" s="417"/>
      <c r="F7" s="417"/>
      <c r="G7" s="417"/>
      <c r="H7" s="418"/>
      <c r="I7" s="114"/>
    </row>
    <row r="8" spans="2:10" ht="13.8" thickBot="1">
      <c r="B8" s="254"/>
      <c r="C8" s="246" t="s">
        <v>170</v>
      </c>
      <c r="D8" s="228" t="s">
        <v>181</v>
      </c>
      <c r="E8" s="227">
        <v>1</v>
      </c>
      <c r="F8" s="227">
        <v>352.62</v>
      </c>
      <c r="G8" s="227">
        <f>E8*F8</f>
        <v>352.62</v>
      </c>
      <c r="H8" s="236"/>
      <c r="I8" s="114"/>
    </row>
    <row r="9" spans="2:10" ht="22.2" customHeight="1" thickBot="1">
      <c r="B9" s="252"/>
      <c r="C9" s="247" t="s">
        <v>158</v>
      </c>
      <c r="D9" s="242"/>
      <c r="E9" s="212" t="str">
        <f>IF(F9="","",G9/F9)</f>
        <v/>
      </c>
      <c r="F9" s="213"/>
      <c r="G9" s="214">
        <f>SUM(G8:G8)</f>
        <v>352.62</v>
      </c>
      <c r="H9" s="237"/>
      <c r="I9" s="114"/>
    </row>
    <row r="10" spans="2:10" ht="7.8" customHeight="1" thickBot="1">
      <c r="B10" s="252"/>
      <c r="C10" s="248"/>
      <c r="D10" s="215"/>
      <c r="E10" s="216"/>
      <c r="F10" s="217"/>
      <c r="G10" s="218"/>
      <c r="H10" s="244"/>
      <c r="I10" s="114"/>
    </row>
    <row r="11" spans="2:10" ht="99" customHeight="1" thickBot="1">
      <c r="B11" s="255"/>
      <c r="C11" s="249" t="s">
        <v>167</v>
      </c>
      <c r="D11" s="219" t="s">
        <v>168</v>
      </c>
      <c r="E11" s="219" t="s">
        <v>169</v>
      </c>
      <c r="F11" s="219" t="s">
        <v>166</v>
      </c>
      <c r="G11" s="419" t="s">
        <v>159</v>
      </c>
      <c r="H11" s="420"/>
      <c r="I11" s="114"/>
    </row>
    <row r="12" spans="2:10" ht="91.8" customHeight="1" thickBot="1">
      <c r="B12" s="255"/>
      <c r="C12" s="249" t="s">
        <v>171</v>
      </c>
      <c r="D12" s="219" t="s">
        <v>172</v>
      </c>
      <c r="E12" s="219" t="s">
        <v>173</v>
      </c>
      <c r="F12" s="219" t="s">
        <v>174</v>
      </c>
      <c r="G12" s="419" t="s">
        <v>160</v>
      </c>
      <c r="H12" s="420"/>
      <c r="I12" s="114"/>
    </row>
    <row r="13" spans="2:10" ht="81.599999999999994" customHeight="1" thickBot="1">
      <c r="B13" s="255"/>
      <c r="C13" s="249" t="s">
        <v>175</v>
      </c>
      <c r="D13" s="219" t="s">
        <v>176</v>
      </c>
      <c r="E13" s="219" t="s">
        <v>177</v>
      </c>
      <c r="F13" s="219" t="s">
        <v>166</v>
      </c>
      <c r="G13" s="419" t="s">
        <v>161</v>
      </c>
      <c r="H13" s="420"/>
      <c r="I13" s="114"/>
    </row>
    <row r="14" spans="2:10">
      <c r="B14" s="256"/>
      <c r="C14" s="220" t="s">
        <v>162</v>
      </c>
      <c r="D14" s="220" t="s">
        <v>163</v>
      </c>
      <c r="E14" s="220"/>
      <c r="F14" s="220"/>
      <c r="G14" s="221" t="s">
        <v>164</v>
      </c>
      <c r="H14" s="233"/>
      <c r="I14" s="114"/>
    </row>
    <row r="15" spans="2:10" ht="30" customHeight="1">
      <c r="B15" s="256"/>
      <c r="C15" s="222" t="s">
        <v>165</v>
      </c>
      <c r="D15" s="222" t="s">
        <v>159</v>
      </c>
      <c r="E15" s="222" t="s">
        <v>160</v>
      </c>
      <c r="F15" s="222" t="s">
        <v>161</v>
      </c>
      <c r="G15" s="223"/>
      <c r="H15" s="234"/>
      <c r="I15" s="114"/>
    </row>
    <row r="16" spans="2:10" ht="30" customHeight="1" thickBot="1">
      <c r="B16" s="257"/>
      <c r="C16" s="226" t="s">
        <v>180</v>
      </c>
      <c r="D16" s="224">
        <v>352.62</v>
      </c>
      <c r="E16" s="224">
        <v>319.77999999999997</v>
      </c>
      <c r="F16" s="224">
        <v>378.19</v>
      </c>
      <c r="G16" s="225">
        <f>D16</f>
        <v>352.62</v>
      </c>
      <c r="H16" s="235"/>
      <c r="I16" s="114"/>
    </row>
    <row r="17" spans="2:10" ht="13.8" thickBot="1">
      <c r="B17" s="252"/>
      <c r="C17" s="243"/>
      <c r="D17" s="52"/>
      <c r="E17" s="103"/>
      <c r="F17" s="52"/>
      <c r="G17" s="52"/>
      <c r="H17" s="244"/>
      <c r="I17" s="113"/>
      <c r="J17" s="102"/>
    </row>
    <row r="18" spans="2:10" ht="66.599999999999994" customHeight="1" thickBot="1">
      <c r="B18" s="253"/>
      <c r="C18" s="250" t="s">
        <v>87</v>
      </c>
      <c r="D18" s="416" t="s">
        <v>183</v>
      </c>
      <c r="E18" s="417"/>
      <c r="F18" s="417"/>
      <c r="G18" s="417"/>
      <c r="H18" s="418"/>
      <c r="I18" s="114"/>
    </row>
    <row r="19" spans="2:10" ht="13.8" thickBot="1">
      <c r="B19" s="254"/>
      <c r="C19" s="209" t="s">
        <v>198</v>
      </c>
      <c r="D19" s="228" t="s">
        <v>157</v>
      </c>
      <c r="E19" s="227">
        <v>2</v>
      </c>
      <c r="F19" s="227">
        <v>10000</v>
      </c>
      <c r="G19" s="227">
        <f>E19*F19</f>
        <v>20000</v>
      </c>
      <c r="H19" s="244"/>
      <c r="I19" s="114"/>
    </row>
    <row r="20" spans="2:10" ht="16.8" customHeight="1" thickBot="1">
      <c r="B20" s="252"/>
      <c r="C20" s="210" t="s">
        <v>158</v>
      </c>
      <c r="D20" s="211"/>
      <c r="E20" s="212" t="str">
        <f>IF(F20="","",G20/F20)</f>
        <v/>
      </c>
      <c r="F20" s="213"/>
      <c r="G20" s="214">
        <f>SUM(G19:G19)</f>
        <v>20000</v>
      </c>
      <c r="H20" s="244"/>
      <c r="I20" s="114"/>
    </row>
    <row r="21" spans="2:10" ht="7.8" customHeight="1" thickBot="1">
      <c r="B21" s="252"/>
      <c r="C21" s="248"/>
      <c r="D21" s="215"/>
      <c r="E21" s="216"/>
      <c r="F21" s="217"/>
      <c r="G21" s="218"/>
      <c r="H21" s="244"/>
      <c r="I21" s="114"/>
    </row>
    <row r="22" spans="2:10" ht="99" customHeight="1" thickBot="1">
      <c r="B22" s="255"/>
      <c r="C22" s="249" t="s">
        <v>167</v>
      </c>
      <c r="D22" s="219" t="s">
        <v>168</v>
      </c>
      <c r="E22" s="219" t="s">
        <v>169</v>
      </c>
      <c r="F22" s="219" t="s">
        <v>166</v>
      </c>
      <c r="G22" s="419" t="s">
        <v>159</v>
      </c>
      <c r="H22" s="420"/>
      <c r="I22" s="114"/>
    </row>
    <row r="23" spans="2:10" ht="91.8" customHeight="1" thickBot="1">
      <c r="B23" s="255"/>
      <c r="C23" s="249" t="s">
        <v>171</v>
      </c>
      <c r="D23" s="219" t="s">
        <v>172</v>
      </c>
      <c r="E23" s="219" t="s">
        <v>173</v>
      </c>
      <c r="F23" s="219" t="s">
        <v>174</v>
      </c>
      <c r="G23" s="419" t="s">
        <v>160</v>
      </c>
      <c r="H23" s="420"/>
      <c r="I23" s="114"/>
    </row>
    <row r="24" spans="2:10" ht="81.599999999999994" customHeight="1" thickBot="1">
      <c r="B24" s="255"/>
      <c r="C24" s="249" t="s">
        <v>175</v>
      </c>
      <c r="D24" s="219" t="s">
        <v>176</v>
      </c>
      <c r="E24" s="219" t="s">
        <v>177</v>
      </c>
      <c r="F24" s="219" t="s">
        <v>166</v>
      </c>
      <c r="G24" s="421" t="s">
        <v>161</v>
      </c>
      <c r="H24" s="422"/>
      <c r="I24" s="114"/>
    </row>
    <row r="25" spans="2:10">
      <c r="B25" s="256"/>
      <c r="C25" s="220" t="s">
        <v>162</v>
      </c>
      <c r="D25" s="220" t="s">
        <v>163</v>
      </c>
      <c r="E25" s="220"/>
      <c r="F25" s="220"/>
      <c r="G25" s="410" t="s">
        <v>164</v>
      </c>
      <c r="H25" s="411"/>
      <c r="I25" s="114"/>
    </row>
    <row r="26" spans="2:10" ht="30" customHeight="1">
      <c r="B26" s="256"/>
      <c r="C26" s="222" t="s">
        <v>165</v>
      </c>
      <c r="D26" s="222" t="s">
        <v>159</v>
      </c>
      <c r="E26" s="222" t="s">
        <v>160</v>
      </c>
      <c r="F26" s="222" t="s">
        <v>161</v>
      </c>
      <c r="G26" s="412"/>
      <c r="H26" s="413"/>
      <c r="I26" s="114"/>
    </row>
    <row r="27" spans="2:10" ht="30" customHeight="1">
      <c r="B27" s="257"/>
      <c r="C27" s="239" t="s">
        <v>184</v>
      </c>
      <c r="D27" s="240">
        <v>20000</v>
      </c>
      <c r="E27" s="240">
        <v>14440</v>
      </c>
      <c r="F27" s="240">
        <v>49000</v>
      </c>
      <c r="G27" s="414">
        <f>D27</f>
        <v>20000</v>
      </c>
      <c r="H27" s="415"/>
      <c r="I27" s="114"/>
    </row>
    <row r="28" spans="2:10" ht="4.8" customHeight="1" thickBot="1">
      <c r="B28" s="258"/>
      <c r="C28" s="115"/>
      <c r="D28" s="115"/>
      <c r="E28" s="115"/>
      <c r="F28" s="115"/>
      <c r="G28" s="115"/>
      <c r="H28" s="116"/>
      <c r="I28" s="116"/>
    </row>
  </sheetData>
  <mergeCells count="14">
    <mergeCell ref="G11:H11"/>
    <mergeCell ref="G23:H23"/>
    <mergeCell ref="G24:H24"/>
    <mergeCell ref="C3:H3"/>
    <mergeCell ref="C4:H4"/>
    <mergeCell ref="C5:H5"/>
    <mergeCell ref="G12:H12"/>
    <mergeCell ref="G13:H13"/>
    <mergeCell ref="D7:H7"/>
    <mergeCell ref="G25:H25"/>
    <mergeCell ref="G26:H26"/>
    <mergeCell ref="G27:H27"/>
    <mergeCell ref="D18:H18"/>
    <mergeCell ref="G22:H2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5" orientation="landscape" r:id="rId1"/>
  <rowBreaks count="1" manualBreakCount="1">
    <brk id="16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ORCAMENTO</vt:lpstr>
      <vt:lpstr>RESUMO</vt:lpstr>
      <vt:lpstr>CRONOGRAMA</vt:lpstr>
      <vt:lpstr>COMPOSIÇÃO</vt:lpstr>
      <vt:lpstr>COMPOSIÇÃO!Area_de_impressao</vt:lpstr>
      <vt:lpstr>CRONOGRAMA!Area_de_impressao</vt:lpstr>
      <vt:lpstr>ORCAMENTO!Area_de_impressao</vt:lpstr>
      <vt:lpstr>RESUMO!Area_de_impressao</vt:lpstr>
      <vt:lpstr>COMPOSIÇÃO!Titulos_de_impressao</vt:lpstr>
      <vt:lpstr>CRONOGRAMA!Titulos_de_impressao</vt:lpstr>
      <vt:lpstr>ORCAMENTO!Titulos_de_impressao</vt:lpstr>
      <vt:lpstr>RESUMO!Titulos_de_impressao</vt:lpstr>
    </vt:vector>
  </TitlesOfParts>
  <Company>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Avell</cp:lastModifiedBy>
  <cp:lastPrinted>2019-05-02T20:09:48Z</cp:lastPrinted>
  <dcterms:created xsi:type="dcterms:W3CDTF">1998-04-12T12:31:25Z</dcterms:created>
  <dcterms:modified xsi:type="dcterms:W3CDTF">2019-05-02T20:12:52Z</dcterms:modified>
</cp:coreProperties>
</file>