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368" yWindow="288" windowWidth="13332" windowHeight="7716" tabRatio="601"/>
  </bookViews>
  <sheets>
    <sheet name="ORCAMENTO" sheetId="19" r:id="rId1"/>
    <sheet name="RESUMO" sheetId="22" r:id="rId2"/>
    <sheet name="CRONOGRAMA" sheetId="21" r:id="rId3"/>
    <sheet name="COMPOSIÇÃO" sheetId="23" r:id="rId4"/>
    <sheet name="Memoria de Calculo" sheetId="24" r:id="rId5"/>
  </sheets>
  <definedNames>
    <definedName name="_xlnm.Print_Area" localSheetId="3">COMPOSIÇÃO!$B$2:$I$234</definedName>
    <definedName name="_xlnm.Print_Area" localSheetId="2">CRONOGRAMA!$A$1:$J$65</definedName>
    <definedName name="_xlnm.Print_Area" localSheetId="0">ORCAMENTO!$B$2:$J$238</definedName>
    <definedName name="_xlnm.Print_Area" localSheetId="1">RESUMO!$A$2:$E$54</definedName>
    <definedName name="_xlnm.Print_Titles" localSheetId="3">COMPOSIÇÃO!$3:$5</definedName>
    <definedName name="_xlnm.Print_Titles" localSheetId="2">CRONOGRAMA!$1:$7</definedName>
    <definedName name="_xlnm.Print_Titles" localSheetId="0">ORCAMENTO!$B:$I,ORCAMENTO!$2:$12</definedName>
    <definedName name="_xlnm.Print_Titles" localSheetId="1">RESUMO!$2:$7</definedName>
  </definedNames>
  <calcPr calcId="124519"/>
</workbook>
</file>

<file path=xl/calcChain.xml><?xml version="1.0" encoding="utf-8"?>
<calcChain xmlns="http://schemas.openxmlformats.org/spreadsheetml/2006/main">
  <c r="H192" i="23"/>
  <c r="H191"/>
  <c r="H189"/>
  <c r="H183"/>
  <c r="H181"/>
  <c r="H121"/>
  <c r="H120"/>
  <c r="H118"/>
  <c r="H111"/>
  <c r="H109"/>
  <c r="H108"/>
  <c r="H100"/>
  <c r="H98"/>
  <c r="H101"/>
  <c r="H97"/>
  <c r="H96"/>
  <c r="H89"/>
  <c r="H87"/>
  <c r="H86"/>
  <c r="H79"/>
  <c r="H78"/>
  <c r="H76"/>
  <c r="H70"/>
  <c r="H68"/>
  <c r="H67"/>
  <c r="H66"/>
  <c r="H60"/>
  <c r="H59"/>
  <c r="H58"/>
  <c r="H57"/>
  <c r="H56"/>
  <c r="H55"/>
  <c r="H50"/>
  <c r="H49"/>
  <c r="H48"/>
  <c r="H47"/>
  <c r="H45"/>
  <c r="H44"/>
  <c r="H43"/>
  <c r="H42"/>
  <c r="H41"/>
  <c r="H40"/>
  <c r="H39"/>
  <c r="H38"/>
  <c r="H37"/>
  <c r="H36"/>
  <c r="H30"/>
  <c r="H29"/>
  <c r="H27"/>
  <c r="H26"/>
  <c r="H25"/>
  <c r="H24"/>
  <c r="H23"/>
  <c r="H22"/>
  <c r="H21"/>
  <c r="H20"/>
  <c r="H19"/>
  <c r="H18"/>
  <c r="I55" i="21"/>
  <c r="K18" i="19"/>
  <c r="H18"/>
  <c r="I18" s="1"/>
  <c r="K68"/>
  <c r="H68"/>
  <c r="I68" s="1"/>
  <c r="H232"/>
  <c r="H231"/>
  <c r="G233"/>
  <c r="K232"/>
  <c r="K231"/>
  <c r="H174" i="23"/>
  <c r="H173"/>
  <c r="H171"/>
  <c r="H170"/>
  <c r="K196" i="19"/>
  <c r="H196"/>
  <c r="I196" s="1"/>
  <c r="K26"/>
  <c r="H26"/>
  <c r="I26" s="1"/>
  <c r="H76"/>
  <c r="I76" s="1"/>
  <c r="K76"/>
  <c r="H100"/>
  <c r="I100" s="1"/>
  <c r="K100"/>
  <c r="H195"/>
  <c r="K195"/>
  <c r="H185"/>
  <c r="H184"/>
  <c r="K185"/>
  <c r="K184"/>
  <c r="K183"/>
  <c r="K121"/>
  <c r="H121"/>
  <c r="I121" s="1"/>
  <c r="H85"/>
  <c r="H106"/>
  <c r="K106"/>
  <c r="H193" i="23" l="1"/>
  <c r="H184"/>
  <c r="H102"/>
  <c r="H122"/>
  <c r="H90"/>
  <c r="H112"/>
  <c r="H51"/>
  <c r="H71"/>
  <c r="H80"/>
  <c r="H175"/>
  <c r="H31"/>
  <c r="H61"/>
  <c r="H232" l="1"/>
  <c r="H231"/>
  <c r="H229"/>
  <c r="H228"/>
  <c r="H218"/>
  <c r="H221"/>
  <c r="H220"/>
  <c r="H217"/>
  <c r="K193" i="19"/>
  <c r="H193"/>
  <c r="I193" s="1"/>
  <c r="H158" i="23"/>
  <c r="H157"/>
  <c r="K194" i="19"/>
  <c r="H194"/>
  <c r="I194" s="1"/>
  <c r="H152" i="23"/>
  <c r="H151"/>
  <c r="H164"/>
  <c r="H163"/>
  <c r="K192" i="19"/>
  <c r="H192"/>
  <c r="I192" s="1"/>
  <c r="H146" i="23"/>
  <c r="H145"/>
  <c r="K191" i="19"/>
  <c r="H191"/>
  <c r="I191" s="1"/>
  <c r="K190"/>
  <c r="H190"/>
  <c r="I190" s="1"/>
  <c r="K189"/>
  <c r="H189"/>
  <c r="I189" s="1"/>
  <c r="H140" i="23"/>
  <c r="H139"/>
  <c r="K188" i="19"/>
  <c r="H188"/>
  <c r="I188" s="1"/>
  <c r="H134" i="23"/>
  <c r="H133"/>
  <c r="K187" i="19"/>
  <c r="H187"/>
  <c r="I187" s="1"/>
  <c r="K186"/>
  <c r="K168"/>
  <c r="H168"/>
  <c r="I168" s="1"/>
  <c r="H171"/>
  <c r="I171" s="1"/>
  <c r="K174"/>
  <c r="H174"/>
  <c r="I174" s="1"/>
  <c r="H170"/>
  <c r="I170" s="1"/>
  <c r="H169"/>
  <c r="I169" s="1"/>
  <c r="K177"/>
  <c r="H177"/>
  <c r="I177" s="1"/>
  <c r="H160"/>
  <c r="I160" s="1"/>
  <c r="K158"/>
  <c r="H158"/>
  <c r="I158" s="1"/>
  <c r="K153"/>
  <c r="H153"/>
  <c r="I153" s="1"/>
  <c r="K154"/>
  <c r="H154"/>
  <c r="I154" s="1"/>
  <c r="K156"/>
  <c r="H156"/>
  <c r="I156" s="1"/>
  <c r="H141"/>
  <c r="I141" s="1"/>
  <c r="K151"/>
  <c r="H151"/>
  <c r="I151" s="1"/>
  <c r="K150"/>
  <c r="H150"/>
  <c r="I150" s="1"/>
  <c r="K149"/>
  <c r="H149"/>
  <c r="I149" s="1"/>
  <c r="K148"/>
  <c r="H148"/>
  <c r="I148" s="1"/>
  <c r="K147"/>
  <c r="H147"/>
  <c r="I147" s="1"/>
  <c r="K145"/>
  <c r="H145"/>
  <c r="I145" s="1"/>
  <c r="H142"/>
  <c r="I142" s="1"/>
  <c r="H140"/>
  <c r="I140" s="1"/>
  <c r="H138"/>
  <c r="I138" s="1"/>
  <c r="H137"/>
  <c r="I137" s="1"/>
  <c r="K134"/>
  <c r="H134"/>
  <c r="I134" s="1"/>
  <c r="K131"/>
  <c r="H131"/>
  <c r="I131" s="1"/>
  <c r="H227"/>
  <c r="H226"/>
  <c r="K226"/>
  <c r="H165" i="23" l="1"/>
  <c r="H222"/>
  <c r="H135"/>
  <c r="H141"/>
  <c r="H147"/>
  <c r="H153"/>
  <c r="H159"/>
  <c r="H233"/>
  <c r="K223" i="19"/>
  <c r="H223"/>
  <c r="I223" s="1"/>
  <c r="K219"/>
  <c r="H219"/>
  <c r="I219" s="1"/>
  <c r="K213"/>
  <c r="H213"/>
  <c r="I213" s="1"/>
  <c r="K208"/>
  <c r="H208"/>
  <c r="I208" s="1"/>
  <c r="K210"/>
  <c r="H210"/>
  <c r="I210" s="1"/>
  <c r="K215"/>
  <c r="H215"/>
  <c r="I215" s="1"/>
  <c r="H203"/>
  <c r="I203" s="1"/>
  <c r="H202"/>
  <c r="I202" s="1"/>
  <c r="H58"/>
  <c r="I58" s="1"/>
  <c r="F70"/>
  <c r="F69"/>
  <c r="H71"/>
  <c r="I71" s="1"/>
  <c r="H105"/>
  <c r="I105" s="1"/>
  <c r="B5" i="21"/>
  <c r="B4"/>
  <c r="F11" i="23"/>
  <c r="H11" s="1"/>
  <c r="F10"/>
  <c r="H10" s="1"/>
  <c r="H79" i="19"/>
  <c r="I79" s="1"/>
  <c r="H80"/>
  <c r="I80" s="1"/>
  <c r="H81"/>
  <c r="I81" s="1"/>
  <c r="H12" i="23" l="1"/>
  <c r="G15" i="19" s="1"/>
  <c r="H15" s="1"/>
  <c r="I232" l="1"/>
  <c r="I231"/>
  <c r="I195"/>
  <c r="I185"/>
  <c r="I184"/>
  <c r="I106"/>
  <c r="I85"/>
  <c r="I15"/>
  <c r="I227"/>
  <c r="I226"/>
  <c r="B62" i="24"/>
  <c r="H125" i="19"/>
  <c r="I125" s="1"/>
  <c r="H124"/>
  <c r="I124" s="1"/>
  <c r="H123"/>
  <c r="I123" s="1"/>
  <c r="D54" i="24"/>
  <c r="G54" s="1"/>
  <c r="D53"/>
  <c r="G53" s="1"/>
  <c r="D52"/>
  <c r="G52" s="1"/>
  <c r="D51"/>
  <c r="G51"/>
  <c r="D50"/>
  <c r="G50" s="1"/>
  <c r="D49"/>
  <c r="G49" s="1"/>
  <c r="D48"/>
  <c r="G48"/>
  <c r="D46"/>
  <c r="G46" s="1"/>
  <c r="D47"/>
  <c r="G47" s="1"/>
  <c r="D45"/>
  <c r="G45" s="1"/>
  <c r="H67" i="19"/>
  <c r="I67" s="1"/>
  <c r="I233" l="1"/>
  <c r="G55" i="24"/>
  <c r="G86" i="19"/>
  <c r="H84"/>
  <c r="I84" s="1"/>
  <c r="I86" s="1"/>
  <c r="F116"/>
  <c r="H116"/>
  <c r="H117"/>
  <c r="F115"/>
  <c r="F117" s="1"/>
  <c r="F118"/>
  <c r="H63"/>
  <c r="I63" s="1"/>
  <c r="H62"/>
  <c r="I62" s="1"/>
  <c r="F37" i="24"/>
  <c r="F31"/>
  <c r="F32" s="1"/>
  <c r="E31"/>
  <c r="E34"/>
  <c r="F34" s="1"/>
  <c r="E35"/>
  <c r="F35" s="1"/>
  <c r="E36"/>
  <c r="F36" s="1"/>
  <c r="E37"/>
  <c r="E38"/>
  <c r="F38" s="1"/>
  <c r="E39"/>
  <c r="F39" s="1"/>
  <c r="E33"/>
  <c r="F33" s="1"/>
  <c r="F40" s="1"/>
  <c r="E28"/>
  <c r="F28" s="1"/>
  <c r="F29" s="1"/>
  <c r="E24"/>
  <c r="F24" s="1"/>
  <c r="E25"/>
  <c r="F25" s="1"/>
  <c r="E26"/>
  <c r="F26" s="1"/>
  <c r="E23"/>
  <c r="F23" s="1"/>
  <c r="F59" i="19"/>
  <c r="H110"/>
  <c r="I110" s="1"/>
  <c r="K10" i="24"/>
  <c r="K9"/>
  <c r="K8"/>
  <c r="K7"/>
  <c r="H108" i="19"/>
  <c r="I108" s="1"/>
  <c r="H109"/>
  <c r="I109" s="1"/>
  <c r="J18" i="24"/>
  <c r="J17"/>
  <c r="I15"/>
  <c r="I19" s="1"/>
  <c r="H16"/>
  <c r="I14"/>
  <c r="H12"/>
  <c r="H13"/>
  <c r="H11"/>
  <c r="G8"/>
  <c r="G9"/>
  <c r="G10"/>
  <c r="G7"/>
  <c r="F8"/>
  <c r="F9"/>
  <c r="F10"/>
  <c r="F11"/>
  <c r="F12"/>
  <c r="F13"/>
  <c r="F14"/>
  <c r="F15"/>
  <c r="F16"/>
  <c r="F17"/>
  <c r="F18"/>
  <c r="F7"/>
  <c r="D8"/>
  <c r="D9"/>
  <c r="D10"/>
  <c r="D11"/>
  <c r="D12"/>
  <c r="D13"/>
  <c r="D14"/>
  <c r="D15"/>
  <c r="D16"/>
  <c r="D17"/>
  <c r="D18"/>
  <c r="D7"/>
  <c r="E33" i="22" l="1"/>
  <c r="E35" i="21"/>
  <c r="I117" i="19"/>
  <c r="I116"/>
  <c r="K19" i="24"/>
  <c r="J19"/>
  <c r="D19"/>
  <c r="G19"/>
  <c r="F27"/>
  <c r="H19"/>
  <c r="F19"/>
  <c r="H97" i="19" l="1"/>
  <c r="I97" s="1"/>
  <c r="H96"/>
  <c r="I96" s="1"/>
  <c r="H93"/>
  <c r="I93" s="1"/>
  <c r="H95"/>
  <c r="I95" s="1"/>
  <c r="H99"/>
  <c r="I99" s="1"/>
  <c r="H94"/>
  <c r="I94" s="1"/>
  <c r="H98"/>
  <c r="I98" s="1"/>
  <c r="H37" i="21"/>
  <c r="I37"/>
  <c r="H92" i="19" l="1"/>
  <c r="I92" s="1"/>
  <c r="H88" l="1"/>
  <c r="I88" s="1"/>
  <c r="I101" s="1"/>
  <c r="H89"/>
  <c r="I89" s="1"/>
  <c r="H90"/>
  <c r="I90" s="1"/>
  <c r="H91"/>
  <c r="I91" s="1"/>
  <c r="H19" l="1"/>
  <c r="I19" s="1"/>
  <c r="H52"/>
  <c r="F49"/>
  <c r="H49"/>
  <c r="F48"/>
  <c r="F47"/>
  <c r="F45"/>
  <c r="F44"/>
  <c r="H37"/>
  <c r="I37" s="1"/>
  <c r="H38"/>
  <c r="I38" s="1"/>
  <c r="H36"/>
  <c r="I36" s="1"/>
  <c r="I52" l="1"/>
  <c r="I49"/>
  <c r="C4" i="23"/>
  <c r="H20" i="19"/>
  <c r="I20" s="1"/>
  <c r="H235"/>
  <c r="I235" s="1"/>
  <c r="I236" s="1"/>
  <c r="E56" i="21" s="1"/>
  <c r="H200" i="19"/>
  <c r="I200" s="1"/>
  <c r="H201"/>
  <c r="I201" s="1"/>
  <c r="H204"/>
  <c r="I204" s="1"/>
  <c r="H205"/>
  <c r="I205" s="1"/>
  <c r="H206"/>
  <c r="I206" s="1"/>
  <c r="H207"/>
  <c r="I207" s="1"/>
  <c r="H209"/>
  <c r="I209" s="1"/>
  <c r="H211"/>
  <c r="I211" s="1"/>
  <c r="H212"/>
  <c r="I212" s="1"/>
  <c r="H214"/>
  <c r="I214" s="1"/>
  <c r="H216"/>
  <c r="I216" s="1"/>
  <c r="H217"/>
  <c r="I217" s="1"/>
  <c r="H218"/>
  <c r="I218" s="1"/>
  <c r="H220"/>
  <c r="I220" s="1"/>
  <c r="H221"/>
  <c r="I221" s="1"/>
  <c r="H222"/>
  <c r="I222" s="1"/>
  <c r="H224"/>
  <c r="I224" s="1"/>
  <c r="H225"/>
  <c r="I225" s="1"/>
  <c r="H228"/>
  <c r="I228" s="1"/>
  <c r="H199"/>
  <c r="I199" s="1"/>
  <c r="H163"/>
  <c r="I163" s="1"/>
  <c r="H164"/>
  <c r="I164" s="1"/>
  <c r="H165"/>
  <c r="I165" s="1"/>
  <c r="H166"/>
  <c r="I166" s="1"/>
  <c r="H167"/>
  <c r="I167" s="1"/>
  <c r="H172"/>
  <c r="I172" s="1"/>
  <c r="H173"/>
  <c r="I173" s="1"/>
  <c r="H175"/>
  <c r="I175" s="1"/>
  <c r="H176"/>
  <c r="I176" s="1"/>
  <c r="H178"/>
  <c r="I178" s="1"/>
  <c r="H179"/>
  <c r="I179" s="1"/>
  <c r="H180"/>
  <c r="I180" s="1"/>
  <c r="H181"/>
  <c r="I181" s="1"/>
  <c r="H182"/>
  <c r="I182" s="1"/>
  <c r="I197" s="1"/>
  <c r="H162"/>
  <c r="I162" s="1"/>
  <c r="H130"/>
  <c r="H132"/>
  <c r="I132" s="1"/>
  <c r="H133"/>
  <c r="I133" s="1"/>
  <c r="H135"/>
  <c r="I135" s="1"/>
  <c r="H136"/>
  <c r="I136" s="1"/>
  <c r="H139"/>
  <c r="I139" s="1"/>
  <c r="H143"/>
  <c r="I143" s="1"/>
  <c r="H144"/>
  <c r="I144" s="1"/>
  <c r="H146"/>
  <c r="I146" s="1"/>
  <c r="H152"/>
  <c r="I152" s="1"/>
  <c r="H155"/>
  <c r="I155" s="1"/>
  <c r="H157"/>
  <c r="I157" s="1"/>
  <c r="H159"/>
  <c r="I159" s="1"/>
  <c r="H129"/>
  <c r="H118"/>
  <c r="I118" s="1"/>
  <c r="H115"/>
  <c r="I115" s="1"/>
  <c r="H119"/>
  <c r="I119" s="1"/>
  <c r="H120"/>
  <c r="I120" s="1"/>
  <c r="H114"/>
  <c r="I114" s="1"/>
  <c r="H104"/>
  <c r="I104" s="1"/>
  <c r="H107"/>
  <c r="I107" s="1"/>
  <c r="H103"/>
  <c r="I103" s="1"/>
  <c r="H77"/>
  <c r="I77" s="1"/>
  <c r="H78"/>
  <c r="I78" s="1"/>
  <c r="H75"/>
  <c r="I75" s="1"/>
  <c r="H69"/>
  <c r="I69" s="1"/>
  <c r="H70"/>
  <c r="H72"/>
  <c r="H66"/>
  <c r="H60"/>
  <c r="I60" s="1"/>
  <c r="H61"/>
  <c r="I61" s="1"/>
  <c r="H59"/>
  <c r="I59" s="1"/>
  <c r="H55"/>
  <c r="I55" s="1"/>
  <c r="H51"/>
  <c r="H42"/>
  <c r="H43"/>
  <c r="I43" s="1"/>
  <c r="H44"/>
  <c r="I44" s="1"/>
  <c r="H45"/>
  <c r="I45" s="1"/>
  <c r="H46"/>
  <c r="I46" s="1"/>
  <c r="H47"/>
  <c r="I47" s="1"/>
  <c r="H48"/>
  <c r="I48" s="1"/>
  <c r="H41"/>
  <c r="I41" s="1"/>
  <c r="H30"/>
  <c r="I30" s="1"/>
  <c r="H31"/>
  <c r="H32"/>
  <c r="I32" s="1"/>
  <c r="H33"/>
  <c r="I33" s="1"/>
  <c r="H34"/>
  <c r="I34" s="1"/>
  <c r="H35"/>
  <c r="I35" s="1"/>
  <c r="H29"/>
  <c r="I29" s="1"/>
  <c r="H24"/>
  <c r="H25"/>
  <c r="I25" s="1"/>
  <c r="H23"/>
  <c r="I23" s="1"/>
  <c r="H17"/>
  <c r="I17" s="1"/>
  <c r="H202" i="23"/>
  <c r="H201"/>
  <c r="H199"/>
  <c r="F66" i="19"/>
  <c r="I229" l="1"/>
  <c r="I126"/>
  <c r="I64"/>
  <c r="I82"/>
  <c r="I111"/>
  <c r="I130"/>
  <c r="I72"/>
  <c r="I70"/>
  <c r="I66"/>
  <c r="I129"/>
  <c r="I51"/>
  <c r="F42" l="1"/>
  <c r="I42" s="1"/>
  <c r="I53" s="1"/>
  <c r="I24"/>
  <c r="I27" s="1"/>
  <c r="F31"/>
  <c r="I31" s="1"/>
  <c r="I39" s="1"/>
  <c r="H16"/>
  <c r="I16" s="1"/>
  <c r="I21" s="1"/>
  <c r="K104"/>
  <c r="K107"/>
  <c r="I237" l="1"/>
  <c r="H128" i="23"/>
  <c r="H127"/>
  <c r="H126"/>
  <c r="H125"/>
  <c r="H129" l="1"/>
  <c r="K216" i="19"/>
  <c r="K212"/>
  <c r="K233" s="1"/>
  <c r="J233" s="1"/>
  <c r="K209"/>
  <c r="K206"/>
  <c r="K179"/>
  <c r="K176" l="1"/>
  <c r="K175"/>
  <c r="K77"/>
  <c r="K70"/>
  <c r="K220"/>
  <c r="K211"/>
  <c r="K173"/>
  <c r="K75" l="1"/>
  <c r="E32" i="21"/>
  <c r="K31" i="19"/>
  <c r="K42"/>
  <c r="K34" l="1"/>
  <c r="K35"/>
  <c r="K155"/>
  <c r="K157"/>
  <c r="H211" i="23" l="1"/>
  <c r="H210"/>
  <c r="H208"/>
  <c r="H212" l="1"/>
  <c r="H203"/>
  <c r="K120" i="19" l="1"/>
  <c r="K199" l="1"/>
  <c r="K218"/>
  <c r="K152"/>
  <c r="K146"/>
  <c r="K128"/>
  <c r="K167"/>
  <c r="K166"/>
  <c r="G197"/>
  <c r="K182"/>
  <c r="K178"/>
  <c r="K133"/>
  <c r="K132"/>
  <c r="K130"/>
  <c r="K129"/>
  <c r="K103" l="1"/>
  <c r="E41" i="21" l="1"/>
  <c r="K61" i="19"/>
  <c r="K72"/>
  <c r="G229"/>
  <c r="K235"/>
  <c r="K236" s="1"/>
  <c r="J236" s="1"/>
  <c r="G236"/>
  <c r="G101"/>
  <c r="E50" i="22" l="1"/>
  <c r="I56" i="19"/>
  <c r="E23" i="21" s="1"/>
  <c r="B7" i="22"/>
  <c r="E7"/>
  <c r="K228" i="19"/>
  <c r="K224"/>
  <c r="K222"/>
  <c r="K214"/>
  <c r="K207"/>
  <c r="K205"/>
  <c r="K204"/>
  <c r="K200"/>
  <c r="K229" s="1"/>
  <c r="J229" s="1"/>
  <c r="G56"/>
  <c r="K55"/>
  <c r="K56" s="1"/>
  <c r="G53"/>
  <c r="K48"/>
  <c r="K45"/>
  <c r="K44"/>
  <c r="K43"/>
  <c r="K41"/>
  <c r="K53" s="1"/>
  <c r="J53" s="1"/>
  <c r="G39"/>
  <c r="K36"/>
  <c r="K33"/>
  <c r="K32"/>
  <c r="K30"/>
  <c r="K39" s="1"/>
  <c r="J39" s="1"/>
  <c r="K29"/>
  <c r="G27"/>
  <c r="K25"/>
  <c r="K24"/>
  <c r="K23"/>
  <c r="K27" s="1"/>
  <c r="E44" i="21"/>
  <c r="E11"/>
  <c r="K165" i="19"/>
  <c r="K164"/>
  <c r="K163"/>
  <c r="K162"/>
  <c r="K161"/>
  <c r="K197"/>
  <c r="J197" s="1"/>
  <c r="K144"/>
  <c r="K16"/>
  <c r="K21" s="1"/>
  <c r="J21" s="1"/>
  <c r="G126"/>
  <c r="G111"/>
  <c r="G82"/>
  <c r="G73"/>
  <c r="G64"/>
  <c r="G21"/>
  <c r="K69"/>
  <c r="K66"/>
  <c r="K73" s="1"/>
  <c r="J73" s="1"/>
  <c r="K82"/>
  <c r="J82" s="1"/>
  <c r="K17"/>
  <c r="K60"/>
  <c r="K101"/>
  <c r="J101" s="1"/>
  <c r="K119"/>
  <c r="K126" s="1"/>
  <c r="J126" s="1"/>
  <c r="K59"/>
  <c r="K64" s="1"/>
  <c r="J64" s="1"/>
  <c r="K111"/>
  <c r="J111" s="1"/>
  <c r="E20" i="21" l="1"/>
  <c r="I73" i="19"/>
  <c r="E38" i="21"/>
  <c r="E47"/>
  <c r="E50"/>
  <c r="H46"/>
  <c r="E14"/>
  <c r="E22" i="22"/>
  <c r="F25" i="21"/>
  <c r="E29" l="1"/>
  <c r="G31" s="1"/>
  <c r="E25" i="22"/>
  <c r="E26" i="21"/>
  <c r="F28" s="1"/>
  <c r="E16" i="22"/>
  <c r="E17" i="21"/>
  <c r="F19" s="1"/>
  <c r="F13"/>
  <c r="E11" i="22"/>
  <c r="F22" i="21"/>
  <c r="E44" i="22"/>
  <c r="G40" i="21"/>
  <c r="E35" i="22"/>
  <c r="E41"/>
  <c r="I43" i="21"/>
  <c r="H43"/>
  <c r="E14" i="22"/>
  <c r="F16" i="21"/>
  <c r="E39" i="22"/>
  <c r="E37"/>
  <c r="E19"/>
  <c r="E28"/>
  <c r="I46" i="21"/>
  <c r="E31" i="22"/>
  <c r="G46" i="21"/>
  <c r="E53" i="22" l="1"/>
  <c r="D47" s="1"/>
  <c r="I58" i="21"/>
  <c r="H49"/>
  <c r="I49"/>
  <c r="G49"/>
  <c r="G52"/>
  <c r="H52"/>
  <c r="H59" s="1"/>
  <c r="I52"/>
  <c r="G34"/>
  <c r="F31"/>
  <c r="F59" s="1"/>
  <c r="E60"/>
  <c r="I59" l="1"/>
  <c r="D35"/>
  <c r="D53"/>
  <c r="G59"/>
  <c r="D25" i="22"/>
  <c r="D33"/>
  <c r="D50"/>
  <c r="F60" i="21"/>
  <c r="D44" i="22"/>
  <c r="D35"/>
  <c r="D38" i="21"/>
  <c r="D11"/>
  <c r="D17"/>
  <c r="D41"/>
  <c r="D26"/>
  <c r="D23"/>
  <c r="D14"/>
  <c r="D20"/>
  <c r="D44"/>
  <c r="D31" i="22"/>
  <c r="D32" i="21"/>
  <c r="D11" i="22"/>
  <c r="D22"/>
  <c r="D19"/>
  <c r="D37"/>
  <c r="D39"/>
  <c r="D14"/>
  <c r="D16"/>
  <c r="D50" i="21"/>
  <c r="D47"/>
  <c r="D56"/>
  <c r="D29"/>
  <c r="D41" i="22"/>
  <c r="D28"/>
  <c r="G60" i="21" l="1"/>
  <c r="H60" s="1"/>
  <c r="I60" s="1"/>
  <c r="D53" i="22"/>
  <c r="D60" i="21"/>
</calcChain>
</file>

<file path=xl/sharedStrings.xml><?xml version="1.0" encoding="utf-8"?>
<sst xmlns="http://schemas.openxmlformats.org/spreadsheetml/2006/main" count="1302" uniqueCount="689">
  <si>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</si>
  <si>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</si>
  <si>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</si>
  <si>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</si>
  <si>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</si>
  <si>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</si>
  <si>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</si>
  <si>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</si>
  <si>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</si>
  <si>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</si>
  <si>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</si>
  <si>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</si>
  <si>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</si>
  <si>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</si>
  <si>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</si>
  <si>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</si>
  <si>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</si>
  <si>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</si>
  <si>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</si>
  <si>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</si>
  <si>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</si>
  <si>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</si>
  <si>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</si>
  <si>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</si>
  <si>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</si>
  <si>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</si>
  <si>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</si>
  <si>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</si>
  <si>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</si>
  <si>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>LIMPEZA FINAL DA OBRA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</si>
  <si>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</si>
  <si>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</si>
  <si>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</si>
  <si>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</si>
  <si>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</si>
  <si>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</si>
  <si>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</si>
  <si>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</si>
  <si>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</si>
  <si>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</si>
  <si>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</si>
  <si>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</si>
  <si>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</si>
  <si>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</si>
  <si>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</si>
  <si>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</si>
  <si>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</si>
  <si>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</si>
  <si>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</si>
  <si>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</si>
  <si>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</si>
  <si>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</si>
  <si>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</si>
  <si>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</si>
  <si>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</si>
  <si>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</si>
  <si>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</si>
  <si>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74106/001</t>
  </si>
  <si>
    <t>CHAPISCO APLICADO EM ALVENARIA (COM PRESENÇA DE VÃOS) E ESTRUTURA DE CONCRETO DE FACHADA, COM COLHER DE PEDREIRO, ARGAMASSA TRAÇO 1:3 PREPARO EM BETONEIRA 400L. AF_06/2014</t>
  </si>
  <si>
    <t>APLICAÇÃO MANUAL DE PINTURA COM TINTA LÁTEX ACRÍLICA EM PAREDES, DUAS DEMÃOS, AF_06/2014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</si>
  <si>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</si>
  <si>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</si>
  <si>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</si>
  <si>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</si>
  <si>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</si>
  <si>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CONCRETO FCK=25MPA, TRAÇO 1:2,3:2,7 (CIMENTO/ AREIA MÉDIA/ BRITA 1)-PREPARO MECÂNICO COM BETONEIRA 400L. AF_07/2016</t>
  </si>
  <si>
    <t>KG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</si>
  <si>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</si>
  <si>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</si>
  <si>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</si>
  <si>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</si>
  <si>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</si>
  <si>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UN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</si>
  <si>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</si>
  <si>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</si>
  <si>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</si>
  <si>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</si>
  <si>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</si>
  <si>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</si>
  <si>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</si>
  <si>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</si>
  <si>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</si>
  <si>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</si>
  <si>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</si>
  <si>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t>CAIXA RETANGULAR 4``X 2`` MÉDIA (1,30M DO PISO), PVC INSTALADA EM PAREDE-FORNECIMENTO E INSTALAÇÃO . AF_12/2015</t>
  </si>
  <si>
    <t>INTERRUPTOR SIMPLES (2 MÓDULOS), 10A/250V,  INCLUINDO SUPORTE E PLACA- FORNECIMENTO E INSTALAÇÃO. AF_12/2015</t>
  </si>
  <si>
    <r>
      <t>M</t>
    </r>
    <r>
      <rPr>
        <i/>
        <sz val="10"/>
        <rFont val="Arial"/>
        <family val="2"/>
      </rPr>
      <t>²</t>
    </r>
  </si>
  <si>
    <t>TOTAL GERAL DO ORÇAMENTO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</si>
  <si>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</si>
  <si>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</si>
  <si>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</si>
  <si>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 xml:space="preserve">ADMINISTRAÇÃO LOCAL DE OBRA </t>
  </si>
  <si>
    <t>ENCARGOS SOCIAIS SOBRE MÃO DE OBRA: 88,80%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</si>
  <si>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</si>
  <si>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</si>
  <si>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</si>
  <si>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</si>
  <si>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</si>
  <si>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</si>
  <si>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3.2</t>
  </si>
  <si>
    <t>4.1</t>
  </si>
  <si>
    <t>4.2</t>
  </si>
  <si>
    <t>4.3</t>
  </si>
  <si>
    <t>5.1</t>
  </si>
  <si>
    <t>7.1</t>
  </si>
  <si>
    <t>8.1</t>
  </si>
  <si>
    <t>8.2</t>
  </si>
  <si>
    <t>8.4</t>
  </si>
  <si>
    <t>10.1</t>
  </si>
  <si>
    <t>10.2</t>
  </si>
  <si>
    <t>11.1</t>
  </si>
  <si>
    <t>12.1</t>
  </si>
  <si>
    <t>12.2</t>
  </si>
  <si>
    <t>CABO DE COBRE FLEXÍVEL ISOLADO, 2,5 MM², ANTI-CHAMA 0,6/1,0 KV, PARA CIRCUITOS TERMINAIS - FORNECIMENTO E INSTALAÇÃO. AF_12/2015</t>
  </si>
  <si>
    <t>DUTO ESPIRAL FLEXIVEL SINGELO PEAD D=50MM(2") REVESTIDO COM PVC COM FIO GUIA DE ACO GALVANIZADO, LANCADO DIRETO NO SOLO, INCL CONEXOES</t>
  </si>
  <si>
    <t>73798/001</t>
  </si>
  <si>
    <t>Instalações Elétricas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</si>
  <si>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</si>
  <si>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</si>
  <si>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</si>
  <si>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</si>
  <si>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</si>
  <si>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</si>
  <si>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</si>
  <si>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</si>
  <si>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</si>
  <si>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</si>
  <si>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</si>
  <si>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</si>
  <si>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Custos Unit. (R$)</t>
  </si>
  <si>
    <t>Custos Total (R$)</t>
  </si>
  <si>
    <t>M A T E R I A L</t>
  </si>
  <si>
    <t>88316</t>
  </si>
  <si>
    <t>SERVENTE COM ENCARGOS COMPLEMENTARES</t>
  </si>
  <si>
    <t>ELETRICISTA COM ENCARGOS COMPLEMENTARES</t>
  </si>
  <si>
    <t>TUBO, PVC, SOLDÁVEL, DN 25MM, INSTALADO EM RAMAL OU SUB-RAMAL DE ÁGUA- FORNECIMENTO E INSTALAÇÃO. AF_12/2014</t>
  </si>
  <si>
    <t>TUBO, PVC, SOLDÁVEL, DN 50MM, INSTALADO EM PRUMADA DE ÁGUA - FORNECIMENTO E INSTALAÇÃO. AF_12/2014</t>
  </si>
  <si>
    <t>JOELHO 90 GRAUS, PVC, SOLDÁVEL, DN 25MM, INSTALADO EM RAMAL OU SUB-RAMAL DE ÁGUA - FORNECIMENTO E INSTALAÇÃO. AF_12/2014</t>
  </si>
  <si>
    <t>JOELHO 90 GRAUS, PVC, SOLDÁVEL, DN 50MM, INSTALADO EM PRUMADA DE ÁGUA- FORNECIMENTO E INSTALAÇÃO. AF_12/2014</t>
  </si>
  <si>
    <t>JOELHO 90 GRAUS COM BUCHA DE LATÃO, PVC, SOLDÁVEL, DN 25MM, X 1/2 INSTALADO EM RAMAL OU SUB-RAMAL DE ÁGUA - FORNECIMENTO E INSTALAÇÃO. AF_12/2014</t>
  </si>
  <si>
    <t>TE, PVC, SOLDÁVEL, DN 25MM, INSTALADO EM RAMAL OU SUB-RAMAL DE ÁGUA -FORNECIMENTO E INSTALAÇÃO. AF_12/2014</t>
  </si>
  <si>
    <t>TÊ DE REDUÇÃO, PVC, SOLDÁVEL, DN 50MM X 25MM, INSTALADO EM PRUMADA DE ÁGUA - FORNECIMENTO E INSTALAÇÃO. AF_12/2014</t>
  </si>
  <si>
    <t>REVESTIMENTO CERÂMICO PARA PAREDES INTERNAS COM PLACAS TIPO ESMALTADA EXTRA DE DIMENSÕES 33X45 CM APLICADAS EM AMBIENTES DE ÁREA MAIOR QUE 5 M² NA ALTURA INTEIRA DAS PAREDES. AF_06/2014</t>
  </si>
  <si>
    <t>11.2</t>
  </si>
  <si>
    <t>VERGA MOLDADA IN LOCO EM CONCRETO PARA JANELAS COM ATÉ 1,5 M DE VÃO. AF_03/2016</t>
  </si>
  <si>
    <t>SINAPI ou Cot. De Mercado</t>
  </si>
  <si>
    <t>JOELHO 90 GRAUS, PVC, SERIE NORMAL, ESGOTO PREDIAL, DN 100 MM, JUNTA ELÁSTICA, FORNECIDO E INSTALADO EM RAMAL DE DESCARGA OU RAMAL DE ESGOTO SANITÁRIO. AF_12/2014</t>
  </si>
  <si>
    <t xml:space="preserve">             HIDRÁULICA</t>
  </si>
  <si>
    <t>REGISTRO DE GAVETA BRUTO, LATÃO, ROSCÁVEL, 3/4", COM ACABAMENTO E CANOPLA CROMADOS. FORNECIDO E INSTALADO EM RAMAL DE ÁGUA. AF_12/2014</t>
  </si>
  <si>
    <t>ADAPTADOR CURTO COM BOLSA E ROSCA PARA REGISTRO, PVC, SOLDÁVEL, DN 25MM X 3/4, INSTALADO EM RAMAL OU SUB-RAMAL DE ÁGUA - FORNECIMENTO E INSTALAÇÃO. AF_12/2014</t>
  </si>
  <si>
    <t>DISJUNTOR MONOPOLAR TIPO DIN, CORRENTE NOMINAL DE 10A - FORNECIMENTO E INSTALAÇÃO. AF_04/2016</t>
  </si>
  <si>
    <t>CAIXA ENTERRADA ELÉTRICA RETANGULAR, EM ALVENARIA COM TIJOLOS CERÂMICOS MACIÇOS, FUNDO COM BRITA, DIMENSÕES INTERNAS: 0,6X0,6X0,6 M. AF_05/2018</t>
  </si>
  <si>
    <t>13.1</t>
  </si>
  <si>
    <t>13.2</t>
  </si>
  <si>
    <t>APLICAÇÃO DE FUNDO SELADOR LÁTEX PVA EM PAREDES, UMA DEMÃO. AF_06/2014</t>
  </si>
  <si>
    <t>Serviços Finais</t>
  </si>
  <si>
    <t>SERVIÇOS FINAIS</t>
  </si>
  <si>
    <t>JOELHO 90 GRAUS, PVC, SERIE NORMAL, ESGOTO PREDIAL, DN 40 MM, JUNTA SOLDÁVEL, FORNECIDO E INSTALADO EM RAMAL DE DESCARGA OU RAMAL DE ESGOTOSANITÁRIO. AF_12/2014</t>
  </si>
  <si>
    <t>LUVA SOLDÁVEL E COM ROSCA, PVC, SOLDÁVEL, DN 25MM X 3/4, INSTALADO EM RAMAL OU SUB-RAMAL DE ÁGUA - FORNECIMENTO E INSTALAÇÃO. AF_12/2014</t>
  </si>
  <si>
    <t>CHUVEIRO ELETRICO COMUM CORPO PLASTICO TIPO DUCHA, FORNECIMENTO E INSTALACAO</t>
  </si>
  <si>
    <t>REGISTRO DE PRESSÃO BRUTO, LATÃO, ROSCÁVEL, 3/4", COM ACABAMENTO E CANOPLA CROMADOS. FORNECIDO E INSTALADO EM RAMAL DE ÁGUA. AF_12/2014</t>
  </si>
  <si>
    <t>ARMAÇÃO DE BLOCO, VIGA BALDRAME OU SAPATA UTILIZANDO AÇO CA-50 DE 6,3MM - MONTAGEM. AF_06/2017</t>
  </si>
  <si>
    <t>74157/004</t>
  </si>
  <si>
    <t xml:space="preserve">LANCAMENTO/APLICACAO MANUAL DE CONCRETO EM FUNDACOES </t>
  </si>
  <si>
    <t>VERGA MOLDADA IN LOCO EM CONCRETO PARA PORTAS COM ATÉ 1,5 M DE VÃO. AF _03/2016</t>
  </si>
  <si>
    <t>CAIXA SIFONADA, PVC, DN 100 X 100 X 50 MM, FORNECIDA E INSTALADA EM RAMAIS DE ENCAMINHAMENTO DE ÁGUA PLUVIAL. AF_12/2014</t>
  </si>
  <si>
    <t>CAIXA OCTOGONAL 3" X 3", PVC, INSTALADA EM LAJE - FORNECIMENTO E INSTALAÇÃO. AF_12/2015</t>
  </si>
  <si>
    <t>CAIXA RETANGULAR 4" X 2" ALTA (2,00 M DO PISO), PVC, INSTALADA EM PAREDE - FORNECIMENTO E INSTALAÇÃO. AF_12/2015</t>
  </si>
  <si>
    <t>ELETRODUTO FLEXÍVEL CORRUGADO, PVC, DN 25 MM (3/4"), PARA CIRCUITOS TERMINAIS, INSTALADO EM PAREDE - FORNECIMENTO E INSTALAÇÃO. AF_12/2015</t>
  </si>
  <si>
    <t>14.1</t>
  </si>
  <si>
    <t>PREPARO DE FUNDO DE VALA COM LARGURA MENOR QUE 1,5M EM LOCAL COM NÍVEL BAIXO DE INTERFERÊNCIA. AF_06/2016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</si>
  <si>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</si>
  <si>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</si>
  <si>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12.3</t>
  </si>
  <si>
    <t>ALVENARIA DE VEDAÇÃO DE BLOCOS CERÂMICOS FURADOS NA HORIZONTAL DE 14X9X19CM (ESPESSURA 14CM, BLOCO DEITADO) DE PAREDES COM ÁREA LÍQUIDA MAIOR OU IGUAL A 6M² COM VÃOS E ARGAMASSA DE ASSENTAMENTO COM PREPARO EM BETONEIRA. AF_06/2014</t>
  </si>
  <si>
    <t>REVESTIMENTO CERÂMICO P/ PISO COM PLACAS TIPO ESMALTADA EXTRA DE DIMENSÕES 45X45CM, APLICADA EM AMBIENTES DE ÁREA MAIOR QUE 10 M². AF_06/2014</t>
  </si>
  <si>
    <t>ARGAMASSA TRAÇO 1:3 (CIMENTO E AREIA MÉDIA) PARA CONTRAPISO, PREPARO MECÂNICO COM BETONEIRA 400 L. AF_06/2014</t>
  </si>
  <si>
    <t>CAIXA DE GORDURA DUPLA, CIRCULAR, EM CONCRETO PRÉ-MOLDADO, DIÂMETRO INTERNO = 0,6 M, ALTURA INTERNA = 0,6 M. AF_05/2018</t>
  </si>
  <si>
    <t>CABO DE COBRE FLEXÍVEL ISOLADO, 4 MM², ANTI-CHAMA 0,6/1,0 KV, PARA CIRCUITOS TERMINAIS - FORNECIMENTO E INSTALAÇÃO. AF_12/2015</t>
  </si>
  <si>
    <t>CAIXA RETANGULAR 4" X 2" BAIXA (0,30 M DO PISO), PVC, INSTALADA EM PAREDE - FORNECIMENTO E INSTALAÇÃO. AF_12/2015</t>
  </si>
  <si>
    <t>TOMADA BAIXA DE EMBUTIR (1 MÓDULO), 2P+T 10 A, INCLUINDO SUPORTE E PLACA - FORNECIMENTO E INSTALAÇÃO. AF_12/2015</t>
  </si>
  <si>
    <t>TOMADA MÉDIA DE EMBUTIR (1 MÓDULO), 2P+T 10 A, INCLUINDO SUPORTE E PLACA - FORNECIMENTO E INSTALAÇÃO. AF_12/2015</t>
  </si>
  <si>
    <t>INTERRUPTOR SIMPLES (1 MÓDULO), 10A/250V, INCLUINDO SUPORTE E PLACA -FORNECIMENTO E INSTALAÇÃO. AF_12/2015</t>
  </si>
  <si>
    <t>FORNECIMENTO E INSTALAÇÃO DE TAMPA CEGA  (espelho liso) PARA CAIXA 4" x 2"</t>
  </si>
  <si>
    <t>SINAPI/SINFRA ou Cot. De Mercado</t>
  </si>
  <si>
    <t>AZULEJISTA OU LADRILHISTA COM ENCARGOS COMPLEMENTARES</t>
  </si>
  <si>
    <t>DISPOSITIVO DE PROTEÇÃO CONTRA SURTO DE TENSÃO DPS 20kA - 175v</t>
  </si>
  <si>
    <t>DISPOSITIVO DPS CLASSE II, 1 POLO, TENSAO MAXIMA DE 175 V, CORRENTE MAXIMA DE *20*KA (TIPO AC</t>
  </si>
  <si>
    <t>Composições Eletricas</t>
  </si>
  <si>
    <t>3.3</t>
  </si>
  <si>
    <t>4.4</t>
  </si>
  <si>
    <t>4.5</t>
  </si>
  <si>
    <t>4.6</t>
  </si>
  <si>
    <t>7.2</t>
  </si>
  <si>
    <t>7.3</t>
  </si>
  <si>
    <t>7.4</t>
  </si>
  <si>
    <t>11.3</t>
  </si>
  <si>
    <t>11.4</t>
  </si>
  <si>
    <t>13.3</t>
  </si>
  <si>
    <t>1.2</t>
  </si>
  <si>
    <t>2.3</t>
  </si>
  <si>
    <t>3.4</t>
  </si>
  <si>
    <t>3.5</t>
  </si>
  <si>
    <t>3.6</t>
  </si>
  <si>
    <t>3.7</t>
  </si>
  <si>
    <t>3.8</t>
  </si>
  <si>
    <t>6.2</t>
  </si>
  <si>
    <t>6.3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</si>
  <si>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</si>
  <si>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</si>
  <si>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</si>
  <si>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</si>
  <si>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</si>
  <si>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</si>
  <si>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</si>
  <si>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</si>
  <si>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</si>
  <si>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</si>
  <si>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</si>
  <si>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</si>
  <si>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</si>
  <si>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</si>
  <si>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</si>
  <si>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</si>
  <si>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</si>
  <si>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</si>
  <si>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UNID.</t>
  </si>
  <si>
    <t>ANEL DE CONCRETO ARMADO, D = 1,00 M, H = 0,50 M</t>
  </si>
  <si>
    <t>CONCRETO FCK = 15MPA, TRAÇO 1:3,4:3,5 (CIMENTO/ AREIA MÉDIA/ BRITA 1) - PREPARO MECÂNICO COM BETONEIRA 400 L. AF_07/2016</t>
  </si>
  <si>
    <t>00545/ORSE</t>
  </si>
  <si>
    <t>CASCALHINHO OU PEDRISCO (BRITA 0), COM FRETE</t>
  </si>
  <si>
    <t>SUMIDOURO PRE-MOLDADO DE CONCRETO - 06 ANEIS, ø=1,00M e h=0,50M CADA ANEL (1,00 x 3,00m)</t>
  </si>
  <si>
    <t>COMPOSIÇÃO 001</t>
  </si>
  <si>
    <t>AMARÇÃO DE PILAR OU VIGA DE UMA ESTRUTURA CONVENCIONAL DE CONCRETO ARMADO EM UMA EDIFICAÇÃO TÉRREA OU SOBRADO UTILIZANDO AÇO CA-50 DE 6,3MM- MONTAGEM. AF_12/2015</t>
  </si>
  <si>
    <t>AMARÇÃO DE PILAR OU VIGA DE UMA ESTRUTURA CONVENCIONAL DE CONCRETO ARMADO EM UMA EDIFICAÇÃO TÉRREA OU SOBRADO UTILIZANDO AÇO CA-50 DE 12,5MM- MONTAGEM. AF_12/2015</t>
  </si>
  <si>
    <t>ARMAÇÃO DE BLOCO, VIGA BALDRAME OU SAPATA UTILIZANDO AÇO CA-50 DE 8,0MM - MONTAGEM. AF_06/2017</t>
  </si>
  <si>
    <t>LAJE</t>
  </si>
  <si>
    <t>LAJE PRÉ-FABRICADA TRELIÇADA PARA PISO OU COBERTURA, INTEREIXO 38CM, H= 12CM, EL. ENCHIMENTO EM EPS H-8CM, INCLUSIVE ESCORAMENTO EM MADEIRA E CAPEAMENTO 4CM</t>
  </si>
  <si>
    <t>4.7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</si>
  <si>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</si>
  <si>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</si>
  <si>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PECA DE MADEIRA NATIVA/REGIONAL 2,5 X 7,0 CM (SARRAFO-P/FORMA)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</si>
  <si>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</si>
  <si>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</si>
  <si>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</si>
  <si>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</si>
  <si>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</si>
  <si>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</si>
  <si>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</si>
  <si>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</si>
  <si>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</si>
  <si>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</si>
  <si>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APLICAÇÃO MANUAL DE PINTURA COM TINTA LÁTEX PVA EM TETO, DUAS DEMÃOS. AF_06/2014</t>
  </si>
  <si>
    <t>APLICAÇÃO DE FUNDO SELADOR LÁTEX PVA EM TETO, UMA DEMÃO. AF_06/2014</t>
  </si>
  <si>
    <t>12.4</t>
  </si>
  <si>
    <t>12.5</t>
  </si>
  <si>
    <t>PINTURA EPOXI, DUAS DEMAOS</t>
  </si>
  <si>
    <t>DISJUNTOR BIPOLAR TIPO DIN, CORRENTE NOMINAL DE 25A - FORNECIMENTO E INSTALAÇÃO. AF_04/2016</t>
  </si>
  <si>
    <t xml:space="preserve">DISJUNTOR TETRAPOLAR DR 40A - DISPOSITIVO RESIDUAL DIFERENCIAL, TIPO AC, 30MA </t>
  </si>
  <si>
    <t>COMPOSIÇÃO 005</t>
  </si>
  <si>
    <t>JUNÇÃO SIMPLES, PVC, SERIE NORMAL, ESGOTO PREDIAL, DN 50 X 50 MM, JUNTA ELÁSTICA, FORNECIDO E INSTALADO EM RAMAL DE DESCARGA OU RAMAL DE ESGOTO SANITÁRIO. AF_12/2014</t>
  </si>
  <si>
    <t>Nota Técnica: O Serviços que correspondem a sondagem do tipo SPT serão realizados pela equipe técnica da Administração Municipal, estando assim a parte deste orçamento.</t>
  </si>
  <si>
    <t>1.3</t>
  </si>
  <si>
    <t>4.8</t>
  </si>
  <si>
    <t>4.9</t>
  </si>
  <si>
    <t>6.1</t>
  </si>
  <si>
    <t>9.1</t>
  </si>
  <si>
    <t>10.3</t>
  </si>
  <si>
    <t>11.5</t>
  </si>
  <si>
    <t>12.6</t>
  </si>
  <si>
    <t>12.7</t>
  </si>
  <si>
    <t>12.8</t>
  </si>
  <si>
    <t>12.9</t>
  </si>
  <si>
    <t>12.10</t>
  </si>
  <si>
    <t xml:space="preserve">       CRONOGRAMA FÍSICO-FINANCEIRO </t>
  </si>
  <si>
    <t>DEMOLIÇÃO DE ALVENARIA DE BLOCO FURADO, DE FORMA MANUAL, SEM REAPROVEITAMENTO. AF_12/2017</t>
  </si>
  <si>
    <t>3.9</t>
  </si>
  <si>
    <t>3.10</t>
  </si>
  <si>
    <t>AMARÇÃO DE BLOCO, VIGA BALDRAME OU SAPATA UTILIZANDO AÇO CA-50 DE 12,5MM-MONTAGEM  AF_06/2018</t>
  </si>
  <si>
    <t>AMARÇÃO DE BLOCO, VIGA BALDRAME OU SAPATA UTILIZANDO AÇO CA-50 DE 16,0MM-MONTAGEM  AF_06/2019</t>
  </si>
  <si>
    <t>AMARÇÃO DE PILAR OU VIGA DE UMA ESTRUTURA CONVENCIONAL DE CONCRETO ARMADO EM UMA EDIFICAÇÃO TÉRREA OU SOBRADO UTILIZANDO AÇO CA-50 DE 16,0MM- MONTAGEM. AF_12/2016</t>
  </si>
  <si>
    <t>4.10</t>
  </si>
  <si>
    <t>4.11</t>
  </si>
  <si>
    <t>LAJE PRÉ-FABRICADA TRELIÇADA PARA PISO OU COBERTURA, INTEREIXO 38CM, H= 20CM, EL. ENCHIMENTO EM EPS H-16CM, INCLUSIVE ESCORAMENTO EM MADEIRA E CAPEAMENTO 4CM</t>
  </si>
  <si>
    <t>* baseada na composição 09458/ORSE</t>
  </si>
  <si>
    <t>ARMADOR COM ENCARGOS COMPLEMENTARES</t>
  </si>
  <si>
    <t>88245</t>
  </si>
  <si>
    <t>88262</t>
  </si>
  <si>
    <t>* baseada na composição 09904/ORSE</t>
  </si>
  <si>
    <t>CARPINTEIRO DE FORMAS COM ENCARGOS COMPLEMENTARES</t>
  </si>
  <si>
    <t>1.4</t>
  </si>
  <si>
    <t>LIMPEZA MANUAL DO TERRENO (C/ RASPAGEM SUPERFICIAL)</t>
  </si>
  <si>
    <t>73948/016</t>
  </si>
  <si>
    <t>JA-01</t>
  </si>
  <si>
    <t>JA-03</t>
  </si>
  <si>
    <t>JA-04</t>
  </si>
  <si>
    <t>JA-05</t>
  </si>
  <si>
    <t>JA-07</t>
  </si>
  <si>
    <t>JA-08</t>
  </si>
  <si>
    <t>JA-09</t>
  </si>
  <si>
    <t>PM1 - KIT DE PORTA DE MADEIRA PARA PINTURA, SEMI-OCA (LEVE OU MÉDIA), PADRÃO MÉDIO, 70X210CM, ESPESSURA DE 3,5CM, ITENS INCLUSOS: DOBRADIÇAS, MONTAGEM E INSTALAÇÃO DO BATENTE, FECHADURA COM EXECUÇÃO DO FURO - FORNECIMENTO E INSTALAÇÃO. AF_08/2015</t>
  </si>
  <si>
    <t>PM3 - KIT DE PORTA DE MADEIRA PARA PINTURA, SEMI-OCA (LEVE OU MÉDIA), PADRÃO MÉDIO, 80X210CM, ESPESSURA DE 3,5CM, ITENS INCLUSOS: DOBRADIÇAS, MONTAGEM E INSTALAÇÃO DO BATENTE, FECHADURA COM EXECUÇÃO DO FURO - FORNECIMENTO E INSTALAÇÃO. AF_08/2015</t>
  </si>
  <si>
    <t>PM4 - KIT DE PORTA DE MADEIRA PARA PINTURA, SEMI-OCA (LEVE OU MÉDIA), PADRÃO MÉDIO, 80X210CM, ESPESSURA DE 3,5CM, ITENS INCLUSOS: DOBRADIÇAS, MONTAGEM E INSTALAÇÃO DO BATENTE, FECHADURA COM EXECUÇÃO DO FURO - FORNECIMENTO E INSTALAÇÃO. AF_08/2015</t>
  </si>
  <si>
    <t>PM2 - KIT DE PORTA DE MADEIRA TIPO VENEZIANA, PADRÃO MÉDIO, 80X210CM, ESPESSURA DE 3CM, ITENS INCLUSOS: DOBRADIÇAS, MONTAGEM E INSTALAÇÃO DO BATENTE, SEM FECHADURA - FORNECIMENTO E INSTALAÇÃO. AF_08/2015</t>
  </si>
  <si>
    <t>CJ</t>
  </si>
  <si>
    <t>SINAPI/SINFRA
ou Cot. De Mercado</t>
  </si>
  <si>
    <t>Custos
Unit. (R$)</t>
  </si>
  <si>
    <t>Custos
Total (R$)</t>
  </si>
  <si>
    <t>3104</t>
  </si>
  <si>
    <t>JOGO DE FERRAGENS CROMADAS P/ PORTA DE VIDRO TEMPERADO, UMA FOLHA COMPOSTA: DOBRADICA SUPERIOR (101) E INFERIOR (103),TRINCO (502), FECHADURA (520),CONTRA FECHADURA (531),COM CAPUCHINHO</t>
  </si>
  <si>
    <t>10507</t>
  </si>
  <si>
    <t>VIDRO TEMPERADO INCOLOR E = 10 MM, SEM COLOCACAO</t>
  </si>
  <si>
    <t>11523</t>
  </si>
  <si>
    <t>PUXADOR CONCHA DE EMBUTIR, EM LATAO CROMADO, PARA PORTA / JANELA DE CORRER, LISO, SEM FURO PARA CHAVE, COM FUROS PARA FIXAR PARAFUSOS, *30 X 90* MM (LARGURA X ALTURA)</t>
  </si>
  <si>
    <t>88325</t>
  </si>
  <si>
    <t>VIDRACEIRO COM ENCARGOS COMPLEMENTARES</t>
  </si>
  <si>
    <t>PORTA DE VIDRO TEMPERADO, DUAS FOLHAS COM FERRAGEM , ESPESSURA 10MM VÃO 2500 x 2200MM</t>
  </si>
  <si>
    <t>PORTA DE VIDRO 2,50X2,20M</t>
  </si>
  <si>
    <t>JANELA EM VIDRO TEMPERADO DE CORRER COM ESTRUTURA DE ALUMINIO, ESPESSURA 10MM</t>
  </si>
  <si>
    <t>09631/ORSE</t>
  </si>
  <si>
    <t>VIDRO TEMPERADO  10MM, LISO, FUMÊ, COM FERRAGENS</t>
  </si>
  <si>
    <t>**Composição baseada nas tabela CIDADES-FEVEREIRO/2014 COMPOSIÇÃO CH0036, sendo  que a cotação esta por m²</t>
  </si>
  <si>
    <t>Piso</t>
  </si>
  <si>
    <t>SALA 01</t>
  </si>
  <si>
    <t>SALA 02</t>
  </si>
  <si>
    <t>SALA 03</t>
  </si>
  <si>
    <t>SALA 04</t>
  </si>
  <si>
    <t>PNE INFANTIL</t>
  </si>
  <si>
    <t>SANIT. INF. 01</t>
  </si>
  <si>
    <t>SANIT. INF. 02</t>
  </si>
  <si>
    <t>CIRCULAÇÃO</t>
  </si>
  <si>
    <t>HIGIENIZAÇÃO</t>
  </si>
  <si>
    <t>LACTÁRIO</t>
  </si>
  <si>
    <t>ATIVIDADES E RECREAÇÃO</t>
  </si>
  <si>
    <t>PALCO</t>
  </si>
  <si>
    <t>Área</t>
  </si>
  <si>
    <t>Esp. Contrapiso</t>
  </si>
  <si>
    <t>Esp. Regul.</t>
  </si>
  <si>
    <t>Piso Vinílilco</t>
  </si>
  <si>
    <t>Piso Ceramico 40x40</t>
  </si>
  <si>
    <t>Granilite</t>
  </si>
  <si>
    <t>Cimentado Liso</t>
  </si>
  <si>
    <t>m3</t>
  </si>
  <si>
    <t>PISO VINÍLICO SEMI-FLEXÍVEL EM PLACAS, PADRÃO LISO, ESPESSURA 3,2 MM, FIXADO COM COLA. AF_06/2018</t>
  </si>
  <si>
    <t>10.5</t>
  </si>
  <si>
    <t>RODAPE BORRACHA LISO, ALTURA = 7CM, ESPESSURA = 2 MM, PARA ARGAMASSA</t>
  </si>
  <si>
    <t>10.6</t>
  </si>
  <si>
    <t>10.7</t>
  </si>
  <si>
    <t>Rodapé vinilico</t>
  </si>
  <si>
    <t xml:space="preserve">                                       Fonte de valores:SINAPI - 09/2018-DESONERADO</t>
  </si>
  <si>
    <t>COMPOSIÇÃO 006</t>
  </si>
  <si>
    <t>Portas</t>
  </si>
  <si>
    <t>PM1</t>
  </si>
  <si>
    <t>PM2</t>
  </si>
  <si>
    <t>PM3</t>
  </si>
  <si>
    <t>PM4</t>
  </si>
  <si>
    <t>PV4</t>
  </si>
  <si>
    <t>Janelas</t>
  </si>
  <si>
    <t>Vergas e Contravergas</t>
  </si>
  <si>
    <t>JA1</t>
  </si>
  <si>
    <t>JE1</t>
  </si>
  <si>
    <t>JA3</t>
  </si>
  <si>
    <t>JA4</t>
  </si>
  <si>
    <t>JA5</t>
  </si>
  <si>
    <t>JA7</t>
  </si>
  <si>
    <t>JA8</t>
  </si>
  <si>
    <t>JA9</t>
  </si>
  <si>
    <t>Comprimento</t>
  </si>
  <si>
    <t>Soma</t>
  </si>
  <si>
    <t>6.5</t>
  </si>
  <si>
    <t>VERGA MOLDADA IN LOCO EM CONCRETO PARA JANELAS COM MAIS DE 1,5 M DE VÃO. AF_03/2016</t>
  </si>
  <si>
    <t>VERGA MOLDADA IN LOCO EM CONCRETO PARA PORTAS COM MAIS DE 1,5 M DE VÃO. AF_03/2016</t>
  </si>
  <si>
    <t>APLICAÇÃO E LIXAMENTO DE MASSA LÁTEX EM TETO, DUAS DEMÃOS. AF_06/2014</t>
  </si>
  <si>
    <t>APLICAÇÃO E LIXAMENTO DE MASSA LÁTEX EM PAREDES, DUAS DEMÃOS. AF_06/2014</t>
  </si>
  <si>
    <t>11.6</t>
  </si>
  <si>
    <t>FORRO</t>
  </si>
  <si>
    <t>FORRO EM RÉGUAS DE PVC, FRISADO, PARA AMBIENTES RESIDENCIAIS, INCLUSIVE ESTRUTURA DE FIXAÇÃO. AF_05/2017_P</t>
  </si>
  <si>
    <t>Forro</t>
  </si>
  <si>
    <t>LAJE PRE-MOLDADA TRELICADA (LAJOTAS + VIGOTAS) PARA FORRO, UNIDIRECIONAL, SOBRECARGA DE 100 KG/M2, VAO ATE 6,00 M (SEM COLOCACAO)</t>
  </si>
  <si>
    <t>COMPOSIÇÃO 007</t>
  </si>
  <si>
    <t>COMPOSIÇÃO 008</t>
  </si>
  <si>
    <t>10.4</t>
  </si>
  <si>
    <t>10.8</t>
  </si>
  <si>
    <t>10.9</t>
  </si>
  <si>
    <t>10.10</t>
  </si>
  <si>
    <t>10.11</t>
  </si>
  <si>
    <t>10.12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</si>
  <si>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</si>
  <si>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</si>
  <si>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</si>
  <si>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</si>
  <si>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</si>
  <si>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</si>
  <si>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</si>
  <si>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</si>
  <si>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</si>
  <si>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</si>
  <si>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</si>
  <si>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</si>
  <si>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</si>
  <si>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</si>
  <si>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</si>
  <si>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</si>
  <si>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</si>
  <si>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</si>
  <si>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</si>
  <si>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</si>
  <si>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</si>
  <si>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</si>
  <si>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</si>
  <si>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</si>
  <si>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</si>
  <si>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</si>
  <si>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</si>
  <si>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</si>
  <si>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</si>
  <si>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</si>
  <si>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</si>
  <si>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</si>
  <si>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</si>
  <si>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</si>
  <si>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CHAPISCO APLICADO NO TETO, COM ROLO PARA TEXTURA ACRÍLICA. ARGAMASSA TRAÇO 1:4 E EMULSÃO POLIMÉRICA (ADESIVO) COM PREPARO EM BETONEIRA 400L. AF_06/2014</t>
  </si>
  <si>
    <t>7.5</t>
  </si>
  <si>
    <t>Parede 01</t>
  </si>
  <si>
    <t>Parede 02</t>
  </si>
  <si>
    <t>Parede 03</t>
  </si>
  <si>
    <t>metro lin.</t>
  </si>
  <si>
    <t>altura</t>
  </si>
  <si>
    <t>m2</t>
  </si>
  <si>
    <t>desc abert.</t>
  </si>
  <si>
    <t>Parede 04</t>
  </si>
  <si>
    <t>Parede 05</t>
  </si>
  <si>
    <t>Parede 06</t>
  </si>
  <si>
    <t>Parede 07</t>
  </si>
  <si>
    <t>Pade 08 pilar</t>
  </si>
  <si>
    <t>Parede 09</t>
  </si>
  <si>
    <t>Muro</t>
  </si>
  <si>
    <t>Pintura Interna</t>
  </si>
  <si>
    <t>Pintura Externa</t>
  </si>
  <si>
    <t>APLICAÇÃO MANUAL DE FUNDO SELADOR ACRÍLICO EM PAREDES EXTERNAS DE CASAS. AF_06/2014</t>
  </si>
  <si>
    <t>APLICAÇÃO MANUAL DE MASSA ACRÍLICA EM PAREDES EXTERNAS DE CASAS, UMA DEMÃO. AF_05/2017</t>
  </si>
  <si>
    <t>APLICAÇÃO MANUAL DE TINTA LÁTEX ACRÍLICA EM PAREDE EXTERNAS DE CASAS, DUAS DEMÃOS. AF_11/2016</t>
  </si>
  <si>
    <t>àrea cobertura</t>
  </si>
  <si>
    <t>CUMEEIRA PARA TELHA DE FIBROCIMENTO ONDULADA E = 6 MM, INCLUSO ACESSÓRIOS DE FIXAÇÃO E IÇAMENTO. AF_06/2016</t>
  </si>
  <si>
    <t>TELHAMENTO COM TELHA ONDULADA DE FIBROCIMENTO E = 6 MM, COM RECOBRIMENTO LATERAL DE 1 1/4 DE ONDA PARA TELHADO COM INCLINAÇÃO MÁXIMA DE 10°, COM ATÉ 2 ÁGUAS, INCLUSO IÇAMENTO. AF_06/2016</t>
  </si>
  <si>
    <t>FABRICAÇÃO E INSTALAÇÃO DE TESOURA INTEIRA EM AÇO, VÃO DE 8 M, PARA TELHA ONDULADA DE FIBROCIMENTO, METÁLICA, PLÁSTICA OU TERMOACÚSTICA, INCLUSO IÇAMENTO. AF_12/2015</t>
  </si>
  <si>
    <t>8.5</t>
  </si>
  <si>
    <t>8.6</t>
  </si>
  <si>
    <t>8.7</t>
  </si>
  <si>
    <t>RUFO EM CHAPA DE AÇO GALVANIZADO NUMERO 24, CORTE DE 25CM, INCLUSO TRANSPORTE VERTICAL (*pingadeira)</t>
  </si>
  <si>
    <t>RUFO EM CHAPA DE AÇO GALVANIZADO NUMERO 24, CORTE DE 25CM, INCLUSO TRANSPORTE VERTICAL</t>
  </si>
  <si>
    <t>CALHA EM CHAPA DE AÇO GALVANIZADO NÚMERO 24,DESENVOLVIMENTO DE 33 CM , INCLUSO TRANSPORTE VERTICAL, AF 06/2016</t>
  </si>
  <si>
    <t>INSUMOS E COMPOSIÇÕES / REF. SINAPI/MT - SETEMBRO/2018</t>
  </si>
  <si>
    <t>ADMINISTRAÇÃO DA OBRA</t>
  </si>
  <si>
    <t>SINAPI
ou Cot. De Mercado</t>
  </si>
  <si>
    <t>90776</t>
  </si>
  <si>
    <t xml:space="preserve">ENCARREGADO GERAL COM ENCARGOS COMPLEMENTARES </t>
  </si>
  <si>
    <t>90777</t>
  </si>
  <si>
    <t>ENGENHEIRO CIVIL DE OBRA JUNIOR COM ENCARGOS COMPLEMENTARES</t>
  </si>
  <si>
    <t>Mês</t>
  </si>
  <si>
    <t>DATA:24/10/2018</t>
  </si>
  <si>
    <t>SOLEIRA EM GRANITO, LARGURA 15 CM, ESPESSURA 2,0 CM. AF_06/2018</t>
  </si>
  <si>
    <t>11.7</t>
  </si>
  <si>
    <r>
      <rPr>
        <b/>
        <sz val="10"/>
        <rFont val="Arial"/>
        <family val="2"/>
      </rPr>
      <t>(MURO)</t>
    </r>
    <r>
      <rPr>
        <sz val="10"/>
        <rFont val="Arial"/>
        <family val="2"/>
      </rPr>
      <t xml:space="preserve"> ALVENARIA DE VEDAÇÃO DE BLOCOS CERÂMICOS FURADOS NA HORIZONTAL DE 9X19X19CM (ESPESSURA 9CM) DE PAREDES COM ÁREA LÍQUIDA MAIOR OU IGUAL A 6M² COM VÃOS E ARGAMASSA DE ASSENTAMENTO COM PREPARO EM BETONEIRA. AF_06/2014</t>
    </r>
  </si>
  <si>
    <t>1.5</t>
  </si>
  <si>
    <t>CABO DE COBRE FLEXÍVEL ISOLADO, 16 MM², ANTI-CHAMA 0,6/1,0 KV, PARA CIRCUITOS TERMINAIS - FORNECIMENTO E INSTALAÇÃO. AF_12/2015</t>
  </si>
  <si>
    <t>CABO DE COBRE FLEXÍVEL ISOLADO, 35 MM², ANTI-CHAMA 0,6/1,0 KV, PARA DISTRIBUIÇÃO - FORNECIMENTO E INSTALAÇÃO. AF_12/2015</t>
  </si>
  <si>
    <t>INTERRUPTOR PARALELO (1 MÓDULO), 10A/250V, INCLUINDO SUPORTE E PLACA - FORNECIMENTO E INSTALAÇÃO. AF_12/2015</t>
  </si>
  <si>
    <t>TOMADA MÉDIA DE EMBUTIR (1 MÓDULO), 2P+T 20 A, INCLUINDO SUPORTE E PLACA - FORNECIMENTO E INSTALAÇÃO. AF_12/2015</t>
  </si>
  <si>
    <t>TOMADA ALTA DE EMBUTIR (1 MÓDULO), 2P+T 10 A, INCLUINDO SUPORTE E PLACA - FORNECIMENTO E INSTALAÇÃO. AF_12/2015</t>
  </si>
  <si>
    <t>INTERRUPTOR SIMPLES (1 MÓDULO) COM 1 TOMADA DE EMBUTIR 2P+T 10 A, INCLUINDO SUPORTE E PLACA - FORNECIMENTO E INSTALAÇÃO. AF_12/2015</t>
  </si>
  <si>
    <t>ELETRODUTO FLEXÍVEL CORRUGADO, PVC, DN 32 MM (1"), PARA CIRCUITOS TERMINAIS, INSTALADO EM PAREDE - FORNECIMENTO E INSTALAÇÃO. AF_12/2015</t>
  </si>
  <si>
    <t>Disjuntor tetrapolar DR 100 A - Dispositivo residual diferencial, tipo AC, 30MA</t>
  </si>
  <si>
    <t xml:space="preserve"> DISJUNTOR MONOPOLAR TIPO DIN, CORRENTE NOMINAL DE 16A - FORNECIMENTO E INSTALAÇÃO. AF_04/2016</t>
  </si>
  <si>
    <t>LUMINÁRIA DE EMBUTIR ABERTA  PARA LAMPADA FLUORESCENTE OU TUBO DE LED 2 x 18/20W), COMPLETA</t>
  </si>
  <si>
    <t>12021/ORSE</t>
  </si>
  <si>
    <t>LUMINÁRIA DE EMBUTIR ABERTA PARA LAMPADA FLUORESCENTE OU TUBO DE LED 2 x 32/40W, COMPLETA</t>
  </si>
  <si>
    <t>12022/ORSE</t>
  </si>
  <si>
    <t>74131/007</t>
  </si>
  <si>
    <t>QUADRO DE DISTRIBUICAO DE ENERGIA DE EMBUTIR, EM CHAPA METALICA, PARA 40 DISJUNTORES TERMOMAGNETICOS MONOPOLARES, COM BARRAMENTO TRIFASICO E NEUTRO, FORNECIMENTO E INSTALACAO</t>
  </si>
  <si>
    <t>TUBO, PVC, SOLDÁVEL, DN 75MM, INSTALADO EM PRUMADA DE ÁGUA - FORNECIMENTO E INSTALAÇÃO. AF_12/2014</t>
  </si>
  <si>
    <t>JOELHO 90 GRAUS, PVC, SOLDÁVEL, DN 75MM, INSTALADO EM PRUMADA DE ÁGUA - FORNECIMENTO E INSTALAÇÃO. AF_12/2014</t>
  </si>
  <si>
    <t>TE, PVC, SOLDÁVEL, DN 50MM, INSTALADO EM PRUMADA DE ÁGUA - FORNECIMENTO E INSTALAÇÃO. AF_12/2014</t>
  </si>
  <si>
    <t>TE, PVC, SOLDÁVEL, DN 75MM, INSTALADO EM PRUMADA DE ÁGUA - FORNECIMENTO E INSTALAÇÃO. AF_12/2014</t>
  </si>
  <si>
    <t>TE DE REDUÇÃO, PVC, SOLDÁVEL, DN 75MM X 50MM, INSTALADO EM PRUMADA DE ÁGUA - FORNECIMENTO E INSTALAÇÃO. AF_12/2014</t>
  </si>
  <si>
    <t>LUVA, PVC, SOLDÁVEL, DN 50MM, INSTALADO EM PRUMADA DE ÁGUA - FORNECIMENTO E INSTALAÇÃO. AF_12/2014</t>
  </si>
  <si>
    <t>ADAPTADOR CURTO COM BOLSA E ROSCA PARA REGISTRO, PVC, SOLDÁVEL, DN 75MM X 2.1/2, INSTALADO EM PRUMADA DE ÁGUA - FORNECIMENTO E INSTALAÇÃO.AF_12/2014</t>
  </si>
  <si>
    <t>ADAPTADOR CURTO COM BOLSA E ROSCA PARA REGISTRO, PVC, SOLDÁVEL, DN 50MM X 1.1/2, INSTALADO EM PRUMADA DE ÁGUA - FORNECIMENTO E INSTALAÇÃO.AF_12/2014</t>
  </si>
  <si>
    <t>LUVA DE REDUÇÃO, PVC, SOLDÁVEL, DN 50MM X 25MM, INSTALADO EM PRUMADA DE ÁGUA FORNECIMENTO E INSTALAÇÃO. AF_12/2014</t>
  </si>
  <si>
    <t>BUCHA DE REDUÇÃO  LONGA DE PVC RIGIDO SOLDÁVEL, MARROM, DIÂMETRO = 75 x 50MM</t>
  </si>
  <si>
    <t>UNIÃO, PVC, SOLDÁVEL, DN 75MM, INSTALADO EM PRUMADA DE ÁGUA - FORNECIMENTO E INSTALAÇÃO. AF_12/2014</t>
  </si>
  <si>
    <t>TÊ COM BUCHA DE LATÃO NA BOLSA CENTRAL, PVC, SOLDÁVEL, DN 25MM X 1/2, INSTALADO EM PRUMADA DE ÁGUA - FORNECIMENTO E INSTALAÇÃO. AF_12/2014</t>
  </si>
  <si>
    <t>ADAPTADOR COM FLANGES LIVRES, PVC, SOLDÁVEL, DN 75 MM X 2 1/2 , INSTALADO EM RESERVAÇÃO DE ÁGUA DE EDIFICAÇÃO QUE POSSUA RESERVATÓRIO DE FIBRA/FIBROCIMENTO FORNECIMENTO E INSTALAÇÃO. AF_06/2016</t>
  </si>
  <si>
    <t>VALVULA DESCARGA 1.1/2" COM REGISTRO, ACABAMENTO EM METAL CROMADO - FORNECIMENTO E INSTALACAO</t>
  </si>
  <si>
    <t>REGISTRO DE GAVETA BRUTO, LATÃO, ROSCÁVEL, 2 1/2, INSTALADO EM RESERVAÇÃO DE ÁGUA DE EDIFICAÇÃO QUE POSSUA RESERVATÓRIO DE FIBRA/FIBROCIMENTO FORNECIMENTO E INSTALAÇÃO. AF_06/2016</t>
  </si>
  <si>
    <t>REGISTRO DE GAVETA BRUTO, LATÃO, ROSCÁVEL, 1 1/2, COM ACABAMENTO E CANOPLA CROMADOS, INSTALADO EM RESERVAÇÃO DE ÁGUA DE EDIFICAÇÃO QUE POSSUA RESERVATÓRIO DE FIBRA/FIBROCIMENTO FORNECIMENTO E INSTALAÇÃO. AF_06/2016</t>
  </si>
  <si>
    <t>DUCHA HIGIÊNICA COM REGISTRO</t>
  </si>
  <si>
    <t>TORNEIRA CROMADA TUBO MÓVEL, DE MESA, 1/2" OU 3/4", PARA PIA DE COZINHA, PADRÃO ALTO - FORNECIMENTO E INSTALAÇÃO. AF_12/2013</t>
  </si>
  <si>
    <t>TORNEIRA CROMADA DE MESA, 1/2" OU 3/4", PARA LAVATÓRIO, PADRÃO MÉDIO -FORNECIMENTO E INSTALAÇÃO. AF_12/2013</t>
  </si>
  <si>
    <t>CUBA DE EMBUTIR DE AÇO INOXIDÁVEL MÉDIA, INCLUSO VÁLVULA TIPO AMERICANA EM METAL CROMADO E SIFÃO FLEXÍVEL EM PVC - FORNECIMENTO E INSTALAÇÃO. AF_12/2013</t>
  </si>
  <si>
    <t>CUBA DE EMBUTIR OVAL EM LOUÇA BRANCA, 35 X 50CM OU EQUIVALENTE, INCLUSO VÁLVULA E SIFÃO TIPO GARRAFA EM METAL CROMADO - FORNECIMENTO E INSTALAÇÃO. AF_12/2013</t>
  </si>
  <si>
    <t>VASO SANITARIO INFANTIL SIFONADO, PARA VALVULA DE DESCARGA, EM LOUCA BRANCA, COM ACESSORIOS, INCLUSIVE ASSENTO PLASTICO, BOLSA DE BORRACHA PARA LIGACAO, TUBO PVC LIGACAO - FORNECIMENTO E INSTALACAO</t>
  </si>
  <si>
    <t>JOELHO 45 GRAUS, PVC, SERIE NORMAL, ESGOTO PREDIAL, DN 40 MM, JUNTA SOLDÁVEL,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</si>
  <si>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</si>
  <si>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 xml:space="preserve"> CAIXA SIFONADA EM PVC, 150 x 150 x 50MM, COM TAMPA CEGA</t>
  </si>
  <si>
    <t>JUNÇÃO SIMPLES, PVC, SERIE NORMAL, ESGOTO PREDIAL, DN 100 X 100 MM, JUNTA ELÁSTICA, FORNECIDO E INSTALADO EM RAMAL DE DESCARGA OU RAMAL DE ESGOTO SANITÁRIO. AF_12/2014</t>
  </si>
  <si>
    <t>TANQUE SÉPTICO CIRCULAR, EM CONCRETO PRÉ-MOLDADO, DIÂMETRO INTERNO = 1,88 M, ALTURA INTERNA = 2,50 M, VOLUME ÚTIL: 6245,8 L (PARA 32 CONTRIBUINTES). AF_05/2018</t>
  </si>
  <si>
    <t>FILTRO ANAERÓBIO RETANGULAR, EM ALVENARIA COM BLOCOS DE CONCRETO, DIMENSÕES INTERNAS: 1,4 X 3,0 X 1,67 M, VOLUME ÚTIL: 5040 L (PARA 32 CONTRIBUINTES). AF_05/2018</t>
  </si>
  <si>
    <t xml:space="preserve">            ACESSÓRIOS </t>
  </si>
  <si>
    <t>02228/ORSE</t>
  </si>
  <si>
    <t>FITA ANTIDERRAPANTE SAFETY-WALK `` "3M" L=5CM</t>
  </si>
  <si>
    <t>09495/ORSE</t>
  </si>
  <si>
    <t>CABIDE EM AÇO INOX, LINHA SLIM REF. 2060</t>
  </si>
  <si>
    <t>13.36</t>
  </si>
  <si>
    <t>13.37</t>
  </si>
  <si>
    <t>SABONETEIRA PLASTICA TIPO DISPENSER PARA SABONETE LIQUIDO COM RESERVATORIO 800 A 1500 ML, INCLUSO FIXAÇÃO. AF_10/2016</t>
  </si>
  <si>
    <t>PAPELEIRA DE PAREDE EM METAL CROMADO SEM TAMPA, INCLUSO FIXAÇÃO. AF_10 /2016</t>
  </si>
  <si>
    <t>04287/ORSE</t>
  </si>
  <si>
    <t>DISPENSER PARA TOALHA INTERFOLHADA</t>
  </si>
  <si>
    <t xml:space="preserve">ENCANADOR OU BOMBEIRO HIDRÁULICO COM ENCARGOS COMPLEMENTARES </t>
  </si>
  <si>
    <t>BARRA DE APOIO RETA, EM ACO INOX POLIDO, COMPRIMENTO 80CM, DIAMETRO MINIMO 3CM</t>
  </si>
  <si>
    <t>BARRA DE APOIO RETA, EM ACO INOX POLIDO, COMPRIMENTO 80CM, DIAMETRO MINIMO 3 CM</t>
  </si>
  <si>
    <t>* baseada na composição 04287/ORSE - SETEMBRO/2018</t>
  </si>
  <si>
    <t>* baseada na composição 08492/ORSE - SETEMBRO/2018</t>
  </si>
  <si>
    <t>* baseada na composição 09495/ORSE - SETEMBRO/2018</t>
  </si>
  <si>
    <t>BARRA DE APOIO RETA, EM ACO INOX POLIDO, COMPRIMENTO 60CM, DIAMETRO MINIMO 3 CM</t>
  </si>
  <si>
    <t>BARRA DE APOIO RETA, EM ACO INOX POLIDO, COMPRIMENTO 60CM, DIAMETRO MINIMO 3CM</t>
  </si>
  <si>
    <t>* baseada na composição 12121/ORSE - SETEMBRO/2018</t>
  </si>
  <si>
    <t>BARRA DE APOIO RETA, EM ACO INOX POLIDO, COMPRIMENTO 70CM, DIAMETRO MINIMO 3 CM</t>
  </si>
  <si>
    <t>BARRA DE APOIO RETA, EM ACO INOX POLIDO, COMPRIMENTO 70CM, DIAMETRO MINIMO 3CM</t>
  </si>
  <si>
    <t>13.38</t>
  </si>
  <si>
    <t>13.39</t>
  </si>
  <si>
    <t>13.40</t>
  </si>
  <si>
    <t>13.41</t>
  </si>
  <si>
    <t>13.42</t>
  </si>
  <si>
    <t>13.43</t>
  </si>
  <si>
    <t>LUMINÁRIA  DE EMBUTIR ABERTA PARA LÂMPADA FLUORESCENTE OU TUBO LED 2 x 18/20W, COMPLETA, COM LÂMPADA DE TUBO LED</t>
  </si>
  <si>
    <t>LAMPADA LED TUBULAR BIVOLT 9/10 W, BASE G13</t>
  </si>
  <si>
    <t>* baseada na composição 12021/ORSE</t>
  </si>
  <si>
    <t>LUMINÁRIA  DE EMBUTIR ABERTA PARA LÂMPADA FLUORESCENTE OU TUBO LED 2 x 32/40W, COMPLETA, COM LÂMPADA DE TUBO LED</t>
  </si>
  <si>
    <t>12884/ORSE</t>
  </si>
  <si>
    <t xml:space="preserve">LAMPADA LED TUBULAR BIVOLT 18/20W, BASE G13 
</t>
  </si>
  <si>
    <t>PEITORIL DE GRANITO CINZA POLIDO, C/ LARGURA = 17CM, ESP. = 2CM</t>
  </si>
  <si>
    <t>SINAPI/ORSE
ou Cot. De Mercado</t>
  </si>
  <si>
    <t>ARGAMASSA TRACO 1:3 (CIMENTO E AREIA), PREPARO MANUAL, INCLUSO ADITIVO IMPERMEABILIZANTE</t>
  </si>
  <si>
    <t>08753/ORSE</t>
  </si>
  <si>
    <t>GRANITO CINZA CORUMBÁ POLIDO ESP=2CM</t>
  </si>
  <si>
    <t xml:space="preserve">  PEITORIL GRANITO CINZA CORUMBÁ POLIDO, ESP = 2 CM</t>
  </si>
  <si>
    <t>**Composição baseada nas tabela ORSE-JUNHO/2018 COMPOSIÇÃO 08422/ORSE, sendo  que a cotação esta por METRO QUADRADO</t>
  </si>
  <si>
    <t>DIVISORIA EM GRANITO BRANCO POLIDO, ESP = 3CM, ASSENTADO COM ARGAMASSA TRACO 1:4, ARREMATE EM CIMENTO BRANCO, EXCLUSIVE FERRAGENS</t>
  </si>
  <si>
    <t>9.2</t>
  </si>
  <si>
    <t>PISO EM GRANILITE, MARMORITE OU GRANITINA ESPESSURA 8 MM, INCLUSO JUNTA DE DILATACAO PLASTICAS</t>
  </si>
  <si>
    <t>79500/002</t>
  </si>
  <si>
    <t>PINTURA ACRILICA EM PISO CIMENTADO, TRES DEMAOS M2 CR 16,34</t>
  </si>
  <si>
    <t>12.11</t>
  </si>
  <si>
    <t>15.1</t>
  </si>
  <si>
    <t>TUBO PVC, SÉRIE R, ÁGUA PLUVIAL, DN 100 MM, FORNECIDO E INSTALADO EM CONDUTORES VERTICAIS DE ÁGUAS PLUVIAIS. AF_12/2014</t>
  </si>
  <si>
    <t>15.2</t>
  </si>
  <si>
    <t>JOELHO 90 GRAUS, PVC, SERIE R, ÁGUA PLUVIAL, DN 100 MM, JUNTA ELÁSTICA, FORNECIDO E INSTALADO EM RAMAL DE ENCAMINHAMENTO. AF_12/2014</t>
  </si>
  <si>
    <t xml:space="preserve">             ÁGUAS PLUVIAIS</t>
  </si>
  <si>
    <t xml:space="preserve">ESPELHO CRISTAL ESPESSURA 4MM, COM MOLDURA DE MADEIRA </t>
  </si>
  <si>
    <t>74125/001</t>
  </si>
  <si>
    <t xml:space="preserve">ALCAPAO EM FERRO 60X60CM, INCLUSO FERRAGENS </t>
  </si>
  <si>
    <t>74073/001</t>
  </si>
  <si>
    <t>10.13</t>
  </si>
  <si>
    <t>TRAMA DE AÇO COMPOSTA POR TERÇAS PARA TELHADOS DE ATÉ 2 ÁGUAS PARA TELHA ONDULADA DE FIBROCIMENTO, METÁLICA, PLÁSTICA OU TERMOACÚSTICA, INCLUSO TRANSPORTE VERTICAL. AF_12/2015</t>
  </si>
  <si>
    <t>8.3</t>
  </si>
  <si>
    <t>EXECUÇÃO E COMPACTAÇÃO DE ATERRO COM SOLO PREDOMINANTEMENTE ARGILOSO - EXCLUSIVE ESCAVAÇÃO, CARGA E TRANSPORTE E SOLO. AF_09/2017</t>
  </si>
  <si>
    <t>2.4</t>
  </si>
  <si>
    <t xml:space="preserve"> BANCADA EM GRANITO CINZA ANDORINHA, E=2CM </t>
  </si>
  <si>
    <t>02585/ORSE</t>
  </si>
  <si>
    <t xml:space="preserve">TAMPO/BANCADA  DE GRANITO CINZA ANDORINHA, E=2CM 
</t>
  </si>
  <si>
    <t>03116/ORSE</t>
  </si>
  <si>
    <t>CANTONEIRA ALUMÍNIO ANOIZADO NATURAL, 1" x 1/8" - VARA COM 6M - 0,408 kg/m</t>
  </si>
  <si>
    <t xml:space="preserve">BANCADA EM GRANITO CINZA ANDORINHA, E=2CM </t>
  </si>
  <si>
    <t>INSTALAÇÕES COMBATE INCÊNDIO</t>
  </si>
  <si>
    <t>EXTINTOR INCENDIO AGUA-PRESSURIZADA 10L INCL SUPORTE PAREDE CARGA COMPLETA FORNECIMENTO E COLOCACAO</t>
  </si>
  <si>
    <t>73775/002</t>
  </si>
  <si>
    <t>EXTINTOR INCENDIO TP PO QUIMICO 6KG - FORNECIMENTO E INSTALACAO UN AS 171,64</t>
  </si>
  <si>
    <t>* baseada na composição 11178/ORSE - SETEMBRO/2018</t>
  </si>
  <si>
    <t xml:space="preserve"> REVESTIMENTO CERÂMICO PARA PAREDE, 10 x 10 CM, APLICADO COM ARGAMASSA  INDUSTRIALIZADA AC II, REJUNTE EPOXI, EXCLUSIVE REGULARIZAÇÃO DE BASE- EMBOÇO</t>
  </si>
  <si>
    <t>CERÂMICA  10 x 10 CM</t>
  </si>
  <si>
    <t>REJUNTE  EPOXI COR</t>
  </si>
  <si>
    <t>ARGAMASSA INDUSTRIALIZADA  AC-II</t>
  </si>
  <si>
    <t>MASSA ÚNICA, PARA RECEBIMENTO DE PINTURA, EM ARGAMASSA TRAÇO 1:2:8, PREPARO MECÂNICO COM BETONEIRA 400L, APLICADA MANUALMENTE EM TETO, ESPESSURA DE 20MM, COM EXECUÇÃO DE TALISCAS. AF_03/2015</t>
  </si>
  <si>
    <t>74077/003</t>
  </si>
  <si>
    <t>LOCACAO CONVENCIONAL DE OBRA, ATRAVÉS DE GABARITO DE TABUAS CORRIDAS PONTALETADAS, COM REAPROVEITAMENTO DE 3 VEZES.</t>
  </si>
  <si>
    <t>1.6</t>
  </si>
  <si>
    <t xml:space="preserve">                                               Local da Obra: Avenida Kuluene, Quadra 01, Lotes 11/12/13/14, Jardim Bem Viver                                               Coordenadas Geograficas da Obra: Latitude 14°47'58.4"S - Longitude 53°36'56.4"O</t>
  </si>
  <si>
    <t>6.4</t>
  </si>
  <si>
    <t>6.6</t>
  </si>
  <si>
    <t>7.6</t>
  </si>
  <si>
    <t>7.7</t>
  </si>
  <si>
    <t>11.8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</si>
  <si>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</si>
  <si>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</si>
  <si>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</si>
  <si>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</si>
  <si>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</si>
  <si>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</si>
  <si>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</si>
  <si>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</si>
  <si>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</si>
  <si>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</si>
  <si>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</si>
  <si>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</si>
  <si>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</si>
  <si>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</si>
  <si>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</si>
  <si>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</si>
  <si>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</si>
  <si>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</si>
  <si>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</si>
  <si>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</si>
  <si>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</si>
  <si>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</si>
  <si>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</si>
  <si>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</si>
  <si>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</si>
  <si>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</si>
  <si>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</si>
  <si>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</si>
  <si>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</si>
  <si>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</si>
  <si>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</si>
  <si>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16.1</t>
  </si>
  <si>
    <t>Instalações Combate Incêndio</t>
  </si>
  <si>
    <t xml:space="preserve">Local da Obra: Avenida Kuluene, Quadra 01, Lotes 11/12/13/14, Jardim Bem Viver </t>
  </si>
  <si>
    <t>Coordenadas Geograficas da Obra: Latitude 14°47'58.4"S - Longitude 53°36'56.4"O</t>
  </si>
  <si>
    <t>**Composição baseada nas tabela SINAPI/SETEMBRO 2018, BASEADA  EM EXECUÇÃO CONFORME CRONOGRAMA DE OBRA</t>
  </si>
  <si>
    <t>COMPOSIÇÃO 01</t>
  </si>
  <si>
    <t>COMPOSIÇÃO 003</t>
  </si>
  <si>
    <t>REVESTIMENTO CERÂMICO PARA PAREDE, 10 x 10 CM, APLICADO COM ARGAMASSA  INDUSTRIALIZADA AC II, REJUNTE EPOXI, EXCLUSIVE REGULARIZAÇÃO DE BASE- EMBOÇO</t>
  </si>
  <si>
    <t>COMPOSIÇÃO 004</t>
  </si>
  <si>
    <t>**Composição baseada nas tabela SINAPI-SETEMBRO/2018 COMPOSIÇÃO 73838/001, sendo  que a cotação esta por UNIDADE</t>
  </si>
  <si>
    <t>COMPOSIÇÃO 009</t>
  </si>
  <si>
    <t>COMPOSIÇÃO 010</t>
  </si>
  <si>
    <t>COMPOSIÇÃO 011</t>
  </si>
  <si>
    <t>COMPOSIÇÃO 012</t>
  </si>
  <si>
    <t>COMPOSIÇÃO 07</t>
  </si>
  <si>
    <t>BUCHA DE REDUCAO DE PVC, SOLDAVEL, LONGA, COM 75 X 50 MM, PARA AGUA FRIA PREDIAL</t>
  </si>
  <si>
    <t>02036/ORSE</t>
  </si>
  <si>
    <t>L</t>
  </si>
  <si>
    <t>SOLUÇÃO LIMPADORA DE PVC</t>
  </si>
  <si>
    <t>ADESIVO PLASTICO PARA PVC, FRASCO COM 850 GR</t>
  </si>
  <si>
    <t>88267</t>
  </si>
  <si>
    <t>**Composição baseada nas tabela ORSE-SETEMBRO/2018 COMPOSIÇÃO 01089/ORSE, sendo  que a cotação esta por unidade</t>
  </si>
  <si>
    <t>COMPOSIÇÃO 08</t>
  </si>
  <si>
    <t xml:space="preserve"> BUCHA DE REDUÇÃO LONGA DE PVC RIGIDO SOLDÁVEL, MARRON, DIÂMETRO= 75 x 50MM</t>
  </si>
  <si>
    <t xml:space="preserve"> DUCHA HIGIÊNICA COM REGISTRO</t>
  </si>
  <si>
    <t xml:space="preserve">DUCHA METALICA DE PAREDE, ARTICULAVEL, COM BRACO/CANO, SEM DESVIADOR
</t>
  </si>
  <si>
    <t>FITA VEDA ROSCA EM ROLOS DE 18 MM X 10 M (L X C)</t>
  </si>
  <si>
    <t>**Composição baseada nas tabela ORSE-SETEMBRO/2018 COMPOSIÇÃO 08211/ORSE, sendo  que a cotação esta por unidade</t>
  </si>
  <si>
    <t>COMPOSIÇÃO 09</t>
  </si>
  <si>
    <t>COMPOSIÇÃO 10</t>
  </si>
  <si>
    <t>**Composição baseada nas tabela ORSE-SETEMBRO/2018 COMPOSIÇÃO 04282/ORSE, sendo  que a cotação esta por unidade</t>
  </si>
  <si>
    <t>CAIXA SIFONADA EM PVC, 150 x 150 x 50MM, COM GRELHA REDONDA BRANCA</t>
  </si>
  <si>
    <t>CAIXA SIFONADA PVC, 150 X 150 X 50 MM, COM GRELHA REDONDA BRANCA</t>
  </si>
  <si>
    <t>* baseada na composição 09960/ORSE - SETEMBRO/2018</t>
  </si>
  <si>
    <t>COMPOSIÇÃO 013</t>
  </si>
  <si>
    <t>COMPOSIÇÃO 014</t>
  </si>
  <si>
    <t>COMPOSIÇÃO 15</t>
  </si>
  <si>
    <t>COMPOSIÇÃO 015</t>
  </si>
  <si>
    <t>COMPOSIÇÃO 016</t>
  </si>
  <si>
    <t>COMPOSIÇÃO 017</t>
  </si>
  <si>
    <t>COMPOSIÇÃO 16</t>
  </si>
  <si>
    <t>COMPOSIÇÃO 17</t>
  </si>
  <si>
    <t>COMPOSIÇÃO 018</t>
  </si>
  <si>
    <t>COMPOSIÇÃO 18</t>
  </si>
  <si>
    <t>**Composição baseada nas tabela ORSE-SETEMBRO/2018 COMPOSIÇÃO 10759/ORSE, sendo  que a cotação esta por METRO QUADRADO</t>
  </si>
  <si>
    <t>* baseada na composição 02228/ORSE - SETEMBRO/2018</t>
  </si>
  <si>
    <t>TAMPA CEGA EM PVC PARA CONDULETE 4 X 2"</t>
  </si>
  <si>
    <t>* baseada na composição 00711/ORSE-SETEMBRO 2018</t>
  </si>
  <si>
    <t>COMPOSIÇÃO 19</t>
  </si>
  <si>
    <t>COMP. ELE 019</t>
  </si>
  <si>
    <t>COMP. ELE 020</t>
  </si>
  <si>
    <t>DISJUNTOR TERMOMAGNETICO TRIPLOLAR</t>
  </si>
  <si>
    <t>DISJUNTOR TERMOMAGNETICO TRIPOLAR 125A</t>
  </si>
  <si>
    <t>* baseada na composição 08894/ORSE-SETEMBRO 2018</t>
  </si>
  <si>
    <t>COMPOSIÇÃO 20</t>
  </si>
  <si>
    <t>COMP. ELE 021</t>
  </si>
  <si>
    <t>COMP. ELE 022</t>
  </si>
  <si>
    <t>* baseada na composição 07997/ORSE-SETEMBRO 2018</t>
  </si>
  <si>
    <t>COMP. ELE 023</t>
  </si>
  <si>
    <t>COMP. ELE 024</t>
  </si>
  <si>
    <t>IMPORTA O PRESENTE ORÇAMENTO EM R$- SEISCENTOS E VINTE E CINCO MIL SETECENTOS E SETENTA E CINCO REAIS E NOVE CENTAVOS</t>
  </si>
  <si>
    <t xml:space="preserve">DISJUNTOR TERMOMAGNETICO TRIPOLAR 125 A, PADRÃO DIN (Europeu - linha branca), 10KA </t>
  </si>
  <si>
    <t xml:space="preserve">                  LOTE 01: AMPLIAÇÃO  DA ESCOLA MUNICIPAL DE EDUCAÇÃO INFANTIL PROF. VANDERLEI CECATTO</t>
  </si>
  <si>
    <t>LOTE 01:  AMPLIAÇÃO  DA ESCOLA MUNICIPAL DE EDUCAÇÃO INFANTIL PROF. VANDERLEI CECATTO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</si>
</sst>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  <numFmt numFmtId="169" formatCode="_(* #,##0.000_);_(* \(#,##0.000\);_(* &quot;-&quot;??_);_(@_)"/>
    <numFmt numFmtId="170" formatCode="_(* #,##0.0000_);_(* \(#,##0.0000\);_(* &quot;-&quot;??_);_(@_)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6">
    <xf numFmtId="0" fontId="0" fillId="0" borderId="0"/>
    <xf numFmtId="0" fontId="21" fillId="0" borderId="0"/>
    <xf numFmtId="0" fontId="21" fillId="0" borderId="0"/>
    <xf numFmtId="0" fontId="20" fillId="0" borderId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28" fillId="0" borderId="0"/>
    <xf numFmtId="0" fontId="28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4" fillId="0" borderId="0"/>
    <xf numFmtId="9" fontId="38" fillId="0" borderId="0" applyFont="0" applyFill="0" applyBorder="0" applyAlignment="0" applyProtection="0"/>
  </cellStyleXfs>
  <cellXfs count="557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/>
    <xf numFmtId="0" fontId="0" fillId="0" borderId="0" xfId="0" applyBorder="1" applyAlignment="1">
      <alignment horizontal="left" vertical="center" wrapText="1"/>
    </xf>
    <xf numFmtId="0" fontId="11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0" fillId="0" borderId="0" xfId="0" applyFill="1"/>
    <xf numFmtId="0" fontId="14" fillId="0" borderId="0" xfId="0" applyFont="1" applyFill="1"/>
    <xf numFmtId="0" fontId="9" fillId="5" borderId="1" xfId="0" applyFont="1" applyFill="1" applyBorder="1" applyAlignment="1">
      <alignment vertical="center" wrapText="1"/>
    </xf>
    <xf numFmtId="0" fontId="17" fillId="0" borderId="0" xfId="0" applyFont="1"/>
    <xf numFmtId="0" fontId="11" fillId="0" borderId="0" xfId="0" applyFont="1" applyBorder="1"/>
    <xf numFmtId="0" fontId="17" fillId="0" borderId="2" xfId="0" applyFont="1" applyBorder="1"/>
    <xf numFmtId="0" fontId="11" fillId="0" borderId="2" xfId="0" applyFont="1" applyBorder="1"/>
    <xf numFmtId="0" fontId="9" fillId="0" borderId="3" xfId="0" applyFont="1" applyBorder="1"/>
    <xf numFmtId="0" fontId="17" fillId="0" borderId="3" xfId="0" applyFont="1" applyBorder="1"/>
    <xf numFmtId="0" fontId="19" fillId="0" borderId="4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0" fontId="17" fillId="0" borderId="6" xfId="34" applyNumberFormat="1" applyFont="1" applyBorder="1"/>
    <xf numFmtId="10" fontId="17" fillId="0" borderId="4" xfId="34" applyNumberFormat="1" applyFont="1" applyBorder="1"/>
    <xf numFmtId="165" fontId="17" fillId="0" borderId="8" xfId="50" applyFont="1" applyBorder="1"/>
    <xf numFmtId="165" fontId="17" fillId="0" borderId="7" xfId="50" applyFont="1" applyBorder="1"/>
    <xf numFmtId="165" fontId="17" fillId="0" borderId="4" xfId="50" applyFont="1" applyBorder="1"/>
    <xf numFmtId="165" fontId="17" fillId="3" borderId="1" xfId="50" applyFont="1" applyFill="1" applyBorder="1"/>
    <xf numFmtId="165" fontId="17" fillId="4" borderId="4" xfId="50" applyFont="1" applyFill="1" applyBorder="1"/>
    <xf numFmtId="10" fontId="17" fillId="0" borderId="9" xfId="34" applyNumberFormat="1" applyFont="1" applyFill="1" applyBorder="1"/>
    <xf numFmtId="10" fontId="17" fillId="0" borderId="5" xfId="34" applyNumberFormat="1" applyFont="1" applyFill="1" applyBorder="1"/>
    <xf numFmtId="165" fontId="17" fillId="3" borderId="10" xfId="50" applyFont="1" applyFill="1" applyBorder="1"/>
    <xf numFmtId="10" fontId="17" fillId="3" borderId="1" xfId="34" applyNumberFormat="1" applyFont="1" applyFill="1" applyBorder="1"/>
    <xf numFmtId="10" fontId="17" fillId="0" borderId="5" xfId="34" applyNumberFormat="1" applyFont="1" applyBorder="1"/>
    <xf numFmtId="10" fontId="17" fillId="0" borderId="11" xfId="34" applyNumberFormat="1" applyFont="1" applyBorder="1"/>
    <xf numFmtId="10" fontId="17" fillId="4" borderId="5" xfId="34" applyNumberFormat="1" applyFont="1" applyFill="1" applyBorder="1"/>
    <xf numFmtId="10" fontId="17" fillId="4" borderId="11" xfId="34" applyNumberFormat="1" applyFont="1" applyFill="1" applyBorder="1"/>
    <xf numFmtId="165" fontId="17" fillId="0" borderId="11" xfId="50" applyFont="1" applyFill="1" applyBorder="1"/>
    <xf numFmtId="165" fontId="17" fillId="0" borderId="11" xfId="50" applyFont="1" applyBorder="1"/>
    <xf numFmtId="165" fontId="17" fillId="0" borderId="12" xfId="50" applyFont="1" applyFill="1" applyBorder="1"/>
    <xf numFmtId="10" fontId="17" fillId="4" borderId="12" xfId="34" applyNumberFormat="1" applyFont="1" applyFill="1" applyBorder="1"/>
    <xf numFmtId="165" fontId="19" fillId="0" borderId="7" xfId="50" applyFont="1" applyBorder="1"/>
    <xf numFmtId="9" fontId="19" fillId="0" borderId="1" xfId="34" applyNumberFormat="1" applyFont="1" applyBorder="1" applyAlignment="1">
      <alignment horizontal="center"/>
    </xf>
    <xf numFmtId="165" fontId="19" fillId="0" borderId="1" xfId="50" applyFont="1" applyBorder="1" applyAlignment="1">
      <alignment horizontal="center"/>
    </xf>
    <xf numFmtId="165" fontId="17" fillId="0" borderId="1" xfId="0" applyNumberFormat="1" applyFont="1" applyBorder="1"/>
    <xf numFmtId="0" fontId="19" fillId="0" borderId="0" xfId="0" applyFont="1"/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0" fillId="0" borderId="0" xfId="0" applyBorder="1"/>
    <xf numFmtId="4" fontId="9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11" fillId="6" borderId="0" xfId="45" applyNumberFormat="1" applyFont="1" applyFill="1" applyBorder="1" applyAlignment="1">
      <alignment vertical="center"/>
    </xf>
    <xf numFmtId="4" fontId="9" fillId="6" borderId="0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Border="1" applyAlignment="1">
      <alignment horizontal="center" vertical="center"/>
    </xf>
    <xf numFmtId="0" fontId="9" fillId="5" borderId="0" xfId="0" quotePrefix="1" applyFont="1" applyFill="1" applyBorder="1" applyAlignment="1">
      <alignment horizontal="center" vertical="center" wrapText="1"/>
    </xf>
    <xf numFmtId="4" fontId="18" fillId="6" borderId="0" xfId="0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4" fontId="11" fillId="5" borderId="0" xfId="45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23" fillId="0" borderId="0" xfId="24" applyFont="1" applyBorder="1"/>
    <xf numFmtId="4" fontId="11" fillId="0" borderId="0" xfId="45" applyNumberFormat="1" applyFont="1" applyFill="1" applyBorder="1" applyAlignment="1">
      <alignment vertical="center"/>
    </xf>
    <xf numFmtId="10" fontId="17" fillId="0" borderId="7" xfId="34" applyNumberFormat="1" applyFont="1" applyBorder="1"/>
    <xf numFmtId="10" fontId="17" fillId="0" borderId="12" xfId="34" applyNumberFormat="1" applyFont="1" applyFill="1" applyBorder="1"/>
    <xf numFmtId="0" fontId="17" fillId="0" borderId="22" xfId="0" applyFont="1" applyBorder="1" applyAlignment="1">
      <alignment horizontal="left" vertical="center"/>
    </xf>
    <xf numFmtId="165" fontId="17" fillId="0" borderId="23" xfId="50" applyFont="1" applyBorder="1"/>
    <xf numFmtId="165" fontId="17" fillId="0" borderId="22" xfId="50" applyFont="1" applyBorder="1"/>
    <xf numFmtId="0" fontId="19" fillId="4" borderId="17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23" fillId="8" borderId="0" xfId="24" applyFont="1" applyFill="1" applyBorder="1"/>
    <xf numFmtId="4" fontId="11" fillId="8" borderId="0" xfId="45" applyNumberFormat="1" applyFont="1" applyFill="1" applyBorder="1" applyAlignment="1">
      <alignment vertical="center"/>
    </xf>
    <xf numFmtId="0" fontId="9" fillId="8" borderId="0" xfId="0" applyFont="1" applyFill="1" applyAlignment="1">
      <alignment vertical="center"/>
    </xf>
    <xf numFmtId="167" fontId="23" fillId="8" borderId="0" xfId="24" applyNumberFormat="1" applyFont="1" applyFill="1" applyBorder="1"/>
    <xf numFmtId="0" fontId="15" fillId="8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4" fillId="8" borderId="0" xfId="0" applyFont="1" applyFill="1" applyAlignment="1">
      <alignment vertical="center" wrapText="1"/>
    </xf>
    <xf numFmtId="0" fontId="9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4" fillId="8" borderId="0" xfId="0" applyFont="1" applyFill="1"/>
    <xf numFmtId="0" fontId="0" fillId="2" borderId="0" xfId="0" applyFill="1" applyBorder="1"/>
    <xf numFmtId="0" fontId="2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13" fillId="7" borderId="0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vertical="center"/>
    </xf>
    <xf numFmtId="10" fontId="11" fillId="7" borderId="0" xfId="0" applyNumberFormat="1" applyFont="1" applyFill="1" applyBorder="1" applyAlignment="1">
      <alignment horizontal="right" vertical="center"/>
    </xf>
    <xf numFmtId="4" fontId="11" fillId="7" borderId="0" xfId="0" applyNumberFormat="1" applyFont="1" applyFill="1" applyBorder="1" applyAlignment="1">
      <alignment vertical="center"/>
    </xf>
    <xf numFmtId="10" fontId="9" fillId="7" borderId="0" xfId="0" applyNumberFormat="1" applyFont="1" applyFill="1" applyBorder="1" applyAlignment="1">
      <alignment horizontal="right" vertical="center"/>
    </xf>
    <xf numFmtId="4" fontId="9" fillId="7" borderId="0" xfId="0" applyNumberFormat="1" applyFont="1" applyFill="1" applyBorder="1" applyAlignment="1">
      <alignment vertical="center"/>
    </xf>
    <xf numFmtId="10" fontId="11" fillId="8" borderId="0" xfId="0" applyNumberFormat="1" applyFont="1" applyFill="1" applyBorder="1" applyAlignment="1">
      <alignment horizontal="right" vertical="center"/>
    </xf>
    <xf numFmtId="4" fontId="11" fillId="8" borderId="0" xfId="0" applyNumberFormat="1" applyFont="1" applyFill="1" applyBorder="1" applyAlignment="1">
      <alignment vertical="center"/>
    </xf>
    <xf numFmtId="10" fontId="9" fillId="5" borderId="0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vertical="center"/>
    </xf>
    <xf numFmtId="4" fontId="18" fillId="7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vertical="center" wrapText="1"/>
    </xf>
    <xf numFmtId="10" fontId="11" fillId="9" borderId="0" xfId="0" applyNumberFormat="1" applyFont="1" applyFill="1" applyBorder="1" applyAlignment="1">
      <alignment horizontal="right" vertical="center"/>
    </xf>
    <xf numFmtId="4" fontId="11" fillId="9" borderId="0" xfId="0" applyNumberFormat="1" applyFont="1" applyFill="1" applyBorder="1" applyAlignment="1">
      <alignment vertical="center"/>
    </xf>
    <xf numFmtId="4" fontId="11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4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9" fillId="5" borderId="16" xfId="0" applyNumberFormat="1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4" fontId="9" fillId="10" borderId="15" xfId="0" applyNumberFormat="1" applyFont="1" applyFill="1" applyBorder="1" applyAlignment="1">
      <alignment horizontal="center" vertical="center"/>
    </xf>
    <xf numFmtId="0" fontId="9" fillId="0" borderId="33" xfId="2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49" fontId="11" fillId="5" borderId="3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6" xfId="0" applyNumberFormat="1" applyFill="1" applyBorder="1" applyAlignment="1">
      <alignment horizontal="right"/>
    </xf>
    <xf numFmtId="165" fontId="10" fillId="12" borderId="28" xfId="52" applyFont="1" applyFill="1" applyBorder="1" applyAlignment="1">
      <alignment horizontal="right" vertical="center"/>
    </xf>
    <xf numFmtId="4" fontId="10" fillId="12" borderId="29" xfId="8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169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5" borderId="5" xfId="0" applyNumberFormat="1" applyFill="1" applyBorder="1" applyAlignment="1">
      <alignment horizontal="right"/>
    </xf>
    <xf numFmtId="169" fontId="0" fillId="0" borderId="1" xfId="44" applyNumberFormat="1" applyFont="1" applyBorder="1" applyAlignment="1">
      <alignment horizontal="center" vertical="center"/>
    </xf>
    <xf numFmtId="165" fontId="0" fillId="0" borderId="1" xfId="44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1" fillId="8" borderId="0" xfId="0" applyFont="1" applyFill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left" vertical="center"/>
    </xf>
    <xf numFmtId="4" fontId="9" fillId="5" borderId="1" xfId="0" applyNumberFormat="1" applyFont="1" applyFill="1" applyBorder="1" applyAlignment="1">
      <alignment vertical="center"/>
    </xf>
    <xf numFmtId="4" fontId="11" fillId="5" borderId="5" xfId="0" applyNumberFormat="1" applyFont="1" applyFill="1" applyBorder="1" applyAlignment="1">
      <alignment horizontal="right" vertical="center" wrapText="1"/>
    </xf>
    <xf numFmtId="0" fontId="9" fillId="0" borderId="34" xfId="25" applyFont="1" applyFill="1" applyBorder="1" applyAlignment="1">
      <alignment horizontal="center" vertical="center" wrapText="1"/>
    </xf>
    <xf numFmtId="0" fontId="9" fillId="10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0" fillId="0" borderId="14" xfId="0" applyBorder="1"/>
    <xf numFmtId="0" fontId="0" fillId="0" borderId="27" xfId="0" applyBorder="1"/>
    <xf numFmtId="0" fontId="0" fillId="0" borderId="2" xfId="0" applyBorder="1"/>
    <xf numFmtId="0" fontId="0" fillId="0" borderId="19" xfId="0" applyBorder="1"/>
    <xf numFmtId="0" fontId="11" fillId="0" borderId="25" xfId="0" applyFont="1" applyBorder="1"/>
    <xf numFmtId="0" fontId="11" fillId="0" borderId="2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27" xfId="0" applyFont="1" applyBorder="1"/>
    <xf numFmtId="0" fontId="11" fillId="0" borderId="19" xfId="0" applyFont="1" applyBorder="1"/>
    <xf numFmtId="0" fontId="17" fillId="0" borderId="26" xfId="0" applyFont="1" applyBorder="1"/>
    <xf numFmtId="0" fontId="17" fillId="0" borderId="0" xfId="0" applyFont="1" applyBorder="1"/>
    <xf numFmtId="0" fontId="19" fillId="0" borderId="0" xfId="0" applyFont="1" applyBorder="1"/>
    <xf numFmtId="10" fontId="17" fillId="0" borderId="0" xfId="34" applyNumberFormat="1" applyFont="1" applyBorder="1"/>
    <xf numFmtId="0" fontId="0" fillId="5" borderId="0" xfId="0" applyFill="1"/>
    <xf numFmtId="0" fontId="13" fillId="0" borderId="0" xfId="0" applyFont="1" applyBorder="1" applyAlignment="1"/>
    <xf numFmtId="0" fontId="17" fillId="0" borderId="25" xfId="0" applyFont="1" applyBorder="1"/>
    <xf numFmtId="0" fontId="17" fillId="0" borderId="27" xfId="0" applyFont="1" applyBorder="1"/>
    <xf numFmtId="0" fontId="9" fillId="0" borderId="0" xfId="0" applyFont="1" applyBorder="1"/>
    <xf numFmtId="0" fontId="17" fillId="0" borderId="21" xfId="0" applyFont="1" applyBorder="1"/>
    <xf numFmtId="0" fontId="19" fillId="0" borderId="1" xfId="0" applyFont="1" applyBorder="1" applyAlignment="1">
      <alignment horizontal="center"/>
    </xf>
    <xf numFmtId="165" fontId="19" fillId="0" borderId="21" xfId="50" applyFont="1" applyBorder="1" applyAlignment="1">
      <alignment horizontal="center"/>
    </xf>
    <xf numFmtId="0" fontId="17" fillId="0" borderId="19" xfId="0" applyFont="1" applyBorder="1"/>
    <xf numFmtId="9" fontId="19" fillId="0" borderId="37" xfId="34" applyNumberFormat="1" applyFont="1" applyBorder="1" applyAlignment="1">
      <alignment horizontal="center"/>
    </xf>
    <xf numFmtId="0" fontId="17" fillId="0" borderId="38" xfId="0" applyFont="1" applyBorder="1"/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10" fontId="11" fillId="7" borderId="1" xfId="0" applyNumberFormat="1" applyFont="1" applyFill="1" applyBorder="1" applyAlignment="1">
      <alignment horizontal="right" vertical="center"/>
    </xf>
    <xf numFmtId="4" fontId="11" fillId="7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10" fontId="11" fillId="13" borderId="0" xfId="0" applyNumberFormat="1" applyFont="1" applyFill="1" applyBorder="1" applyAlignment="1">
      <alignment horizontal="right" vertical="center"/>
    </xf>
    <xf numFmtId="4" fontId="11" fillId="13" borderId="0" xfId="0" applyNumberFormat="1" applyFont="1" applyFill="1" applyBorder="1" applyAlignment="1">
      <alignment vertical="center"/>
    </xf>
    <xf numFmtId="4" fontId="11" fillId="13" borderId="0" xfId="45" applyNumberFormat="1" applyFont="1" applyFill="1" applyBorder="1" applyAlignment="1">
      <alignment vertical="center"/>
    </xf>
    <xf numFmtId="0" fontId="0" fillId="13" borderId="0" xfId="0" applyFill="1"/>
    <xf numFmtId="0" fontId="14" fillId="13" borderId="0" xfId="0" applyFont="1" applyFill="1"/>
    <xf numFmtId="10" fontId="11" fillId="5" borderId="0" xfId="0" applyNumberFormat="1" applyFont="1" applyFill="1" applyBorder="1" applyAlignment="1">
      <alignment horizontal="right" vertical="center"/>
    </xf>
    <xf numFmtId="4" fontId="11" fillId="5" borderId="0" xfId="0" applyNumberFormat="1" applyFont="1" applyFill="1" applyBorder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9" fillId="5" borderId="36" xfId="0" applyNumberFormat="1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wrapText="1"/>
    </xf>
    <xf numFmtId="169" fontId="0" fillId="0" borderId="7" xfId="44" applyNumberFormat="1" applyFont="1" applyFill="1" applyBorder="1"/>
    <xf numFmtId="165" fontId="0" fillId="0" borderId="7" xfId="44" applyFont="1" applyFill="1" applyBorder="1"/>
    <xf numFmtId="165" fontId="0" fillId="0" borderId="42" xfId="44" applyFont="1" applyBorder="1"/>
    <xf numFmtId="0" fontId="7" fillId="0" borderId="3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169" fontId="0" fillId="0" borderId="1" xfId="44" applyNumberFormat="1" applyFont="1" applyFill="1" applyBorder="1"/>
    <xf numFmtId="165" fontId="0" fillId="0" borderId="1" xfId="44" applyFont="1" applyBorder="1"/>
    <xf numFmtId="0" fontId="0" fillId="0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49" fontId="7" fillId="5" borderId="33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7" fillId="5" borderId="43" xfId="0" applyNumberFormat="1" applyFont="1" applyFill="1" applyBorder="1" applyAlignment="1">
      <alignment horizontal="center"/>
    </xf>
    <xf numFmtId="0" fontId="0" fillId="0" borderId="44" xfId="0" applyFill="1" applyBorder="1" applyAlignment="1">
      <alignment horizontal="left"/>
    </xf>
    <xf numFmtId="0" fontId="7" fillId="5" borderId="44" xfId="0" applyFont="1" applyFill="1" applyBorder="1" applyAlignment="1">
      <alignment horizontal="center"/>
    </xf>
    <xf numFmtId="2" fontId="0" fillId="5" borderId="44" xfId="0" applyNumberFormat="1" applyFill="1" applyBorder="1" applyAlignment="1">
      <alignment horizontal="right"/>
    </xf>
    <xf numFmtId="4" fontId="0" fillId="5" borderId="44" xfId="0" applyNumberFormat="1" applyFill="1" applyBorder="1" applyAlignment="1">
      <alignment horizontal="right"/>
    </xf>
    <xf numFmtId="4" fontId="0" fillId="5" borderId="45" xfId="0" applyNumberFormat="1" applyFill="1" applyBorder="1" applyAlignment="1">
      <alignment horizontal="right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70" fontId="0" fillId="0" borderId="1" xfId="44" applyNumberFormat="1" applyFont="1" applyFill="1" applyBorder="1"/>
    <xf numFmtId="49" fontId="7" fillId="5" borderId="46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2" fontId="0" fillId="5" borderId="5" xfId="0" applyNumberFormat="1" applyFill="1" applyBorder="1" applyAlignment="1">
      <alignment horizontal="right"/>
    </xf>
    <xf numFmtId="0" fontId="9" fillId="14" borderId="31" xfId="25" applyFont="1" applyFill="1" applyBorder="1" applyAlignment="1">
      <alignment horizontal="center" vertical="center"/>
    </xf>
    <xf numFmtId="0" fontId="9" fillId="14" borderId="15" xfId="24" applyFont="1" applyFill="1" applyBorder="1" applyAlignment="1">
      <alignment horizontal="center" vertical="center" wrapText="1"/>
    </xf>
    <xf numFmtId="0" fontId="9" fillId="0" borderId="33" xfId="24" applyFont="1" applyFill="1" applyBorder="1" applyAlignment="1">
      <alignment horizontal="center" vertical="center" wrapText="1"/>
    </xf>
    <xf numFmtId="0" fontId="35" fillId="15" borderId="1" xfId="64" applyFont="1" applyFill="1" applyBorder="1" applyAlignment="1">
      <alignment horizontal="center" vertical="center" wrapText="1"/>
    </xf>
    <xf numFmtId="0" fontId="35" fillId="15" borderId="1" xfId="64" applyFont="1" applyFill="1" applyBorder="1" applyAlignment="1">
      <alignment horizontal="left" vertical="center" wrapText="1"/>
    </xf>
    <xf numFmtId="0" fontId="7" fillId="0" borderId="1" xfId="25" applyFont="1" applyBorder="1" applyAlignment="1">
      <alignment horizontal="center" wrapText="1"/>
    </xf>
    <xf numFmtId="165" fontId="36" fillId="0" borderId="1" xfId="52" applyFont="1" applyFill="1" applyBorder="1" applyAlignment="1" applyProtection="1">
      <alignment horizontal="center"/>
    </xf>
    <xf numFmtId="165" fontId="36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49" fontId="7" fillId="0" borderId="33" xfId="25" applyNumberFormat="1" applyFont="1" applyFill="1" applyBorder="1" applyAlignment="1">
      <alignment horizontal="center"/>
    </xf>
    <xf numFmtId="0" fontId="7" fillId="0" borderId="1" xfId="25" applyFont="1" applyFill="1" applyBorder="1" applyAlignment="1">
      <alignment horizontal="left" wrapText="1"/>
    </xf>
    <xf numFmtId="165" fontId="13" fillId="12" borderId="27" xfId="52" applyFont="1" applyFill="1" applyBorder="1" applyAlignment="1">
      <alignment horizontal="right" vertical="center"/>
    </xf>
    <xf numFmtId="4" fontId="10" fillId="12" borderId="19" xfId="8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4" fontId="11" fillId="16" borderId="0" xfId="45" applyNumberFormat="1" applyFont="1" applyFill="1" applyBorder="1" applyAlignment="1">
      <alignment vertical="center"/>
    </xf>
    <xf numFmtId="4" fontId="7" fillId="0" borderId="33" xfId="25" applyNumberFormat="1" applyFont="1" applyFill="1" applyBorder="1" applyAlignment="1">
      <alignment horizontal="center" vertical="center"/>
    </xf>
    <xf numFmtId="4" fontId="7" fillId="0" borderId="1" xfId="25" applyNumberFormat="1" applyFont="1" applyFill="1" applyBorder="1" applyAlignment="1">
      <alignment horizontal="left" wrapText="1"/>
    </xf>
    <xf numFmtId="0" fontId="7" fillId="0" borderId="1" xfId="25" applyFont="1" applyBorder="1" applyAlignment="1">
      <alignment horizontal="center" vertical="center" wrapText="1"/>
    </xf>
    <xf numFmtId="165" fontId="36" fillId="0" borderId="1" xfId="52" applyFont="1" applyFill="1" applyBorder="1" applyAlignment="1" applyProtection="1">
      <alignment horizontal="center" vertical="center"/>
    </xf>
    <xf numFmtId="165" fontId="36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7" fillId="5" borderId="44" xfId="0" applyFont="1" applyFill="1" applyBorder="1" applyAlignment="1">
      <alignment horizontal="left"/>
    </xf>
    <xf numFmtId="165" fontId="36" fillId="0" borderId="44" xfId="52" applyFont="1" applyFill="1" applyBorder="1" applyAlignment="1">
      <alignment horizontal="center"/>
    </xf>
    <xf numFmtId="4" fontId="0" fillId="0" borderId="45" xfId="0" applyNumberFormat="1" applyFill="1" applyBorder="1" applyAlignment="1">
      <alignment horizontal="right"/>
    </xf>
    <xf numFmtId="0" fontId="0" fillId="0" borderId="1" xfId="0" applyBorder="1"/>
    <xf numFmtId="0" fontId="0" fillId="9" borderId="1" xfId="0" applyFill="1" applyBorder="1"/>
    <xf numFmtId="0" fontId="0" fillId="17" borderId="1" xfId="0" applyFill="1" applyBorder="1"/>
    <xf numFmtId="0" fontId="7" fillId="0" borderId="1" xfId="0" applyFont="1" applyBorder="1"/>
    <xf numFmtId="0" fontId="7" fillId="0" borderId="1" xfId="0" applyFont="1" applyFill="1" applyBorder="1"/>
    <xf numFmtId="0" fontId="0" fillId="0" borderId="1" xfId="0" applyFill="1" applyBorder="1"/>
    <xf numFmtId="0" fontId="23" fillId="8" borderId="0" xfId="24" applyFont="1" applyFill="1" applyBorder="1"/>
    <xf numFmtId="10" fontId="17" fillId="8" borderId="0" xfId="0" applyNumberFormat="1" applyFont="1" applyFill="1" applyBorder="1" applyAlignment="1">
      <alignment horizontal="center" vertical="center"/>
    </xf>
    <xf numFmtId="165" fontId="0" fillId="0" borderId="0" xfId="44" applyFont="1"/>
    <xf numFmtId="43" fontId="0" fillId="0" borderId="0" xfId="0" applyNumberFormat="1"/>
    <xf numFmtId="4" fontId="9" fillId="5" borderId="18" xfId="0" applyNumberFormat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 wrapText="1"/>
    </xf>
    <xf numFmtId="0" fontId="9" fillId="5" borderId="18" xfId="0" quotePrefix="1" applyFont="1" applyFill="1" applyBorder="1" applyAlignment="1">
      <alignment vertical="center" wrapText="1"/>
    </xf>
    <xf numFmtId="0" fontId="7" fillId="0" borderId="0" xfId="0" applyFont="1"/>
    <xf numFmtId="49" fontId="7" fillId="0" borderId="33" xfId="25" applyNumberFormat="1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left" wrapText="1"/>
    </xf>
    <xf numFmtId="0" fontId="0" fillId="5" borderId="5" xfId="0" quotePrefix="1" applyFill="1" applyBorder="1" applyAlignment="1">
      <alignment horizontal="center" vertical="center"/>
    </xf>
    <xf numFmtId="168" fontId="0" fillId="5" borderId="5" xfId="0" applyNumberFormat="1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vertical="center" wrapText="1"/>
    </xf>
    <xf numFmtId="2" fontId="0" fillId="5" borderId="5" xfId="0" applyNumberFormat="1" applyFill="1" applyBorder="1" applyAlignment="1">
      <alignment horizontal="center" vertical="center" wrapText="1"/>
    </xf>
    <xf numFmtId="10" fontId="37" fillId="5" borderId="5" xfId="0" applyNumberFormat="1" applyFont="1" applyFill="1" applyBorder="1" applyAlignment="1">
      <alignment horizontal="center" vertical="center"/>
    </xf>
    <xf numFmtId="10" fontId="9" fillId="5" borderId="5" xfId="0" applyNumberFormat="1" applyFont="1" applyFill="1" applyBorder="1" applyAlignment="1">
      <alignment horizontal="center" vertical="center"/>
    </xf>
    <xf numFmtId="0" fontId="0" fillId="5" borderId="10" xfId="0" quotePrefix="1" applyFill="1" applyBorder="1" applyAlignment="1">
      <alignment horizontal="center" vertical="center"/>
    </xf>
    <xf numFmtId="168" fontId="0" fillId="5" borderId="20" xfId="0" applyNumberFormat="1" applyFill="1" applyBorder="1" applyAlignment="1">
      <alignment horizontal="center" vertical="center" wrapText="1"/>
    </xf>
    <xf numFmtId="2" fontId="0" fillId="5" borderId="20" xfId="0" applyNumberFormat="1" applyFill="1" applyBorder="1" applyAlignment="1">
      <alignment vertical="center" wrapText="1"/>
    </xf>
    <xf numFmtId="2" fontId="0" fillId="5" borderId="20" xfId="0" applyNumberFormat="1" applyFill="1" applyBorder="1" applyAlignment="1">
      <alignment horizontal="center" vertical="center" wrapText="1"/>
    </xf>
    <xf numFmtId="10" fontId="9" fillId="5" borderId="20" xfId="0" applyNumberFormat="1" applyFont="1" applyFill="1" applyBorder="1" applyAlignment="1">
      <alignment horizontal="center" vertical="center"/>
    </xf>
    <xf numFmtId="10" fontId="9" fillId="5" borderId="18" xfId="0" applyNumberFormat="1" applyFont="1" applyFill="1" applyBorder="1" applyAlignment="1">
      <alignment horizontal="center" vertical="center"/>
    </xf>
    <xf numFmtId="10" fontId="17" fillId="0" borderId="1" xfId="34" applyNumberFormat="1" applyFont="1" applyFill="1" applyBorder="1" applyAlignment="1">
      <alignment horizontal="center"/>
    </xf>
    <xf numFmtId="10" fontId="17" fillId="0" borderId="1" xfId="65" applyNumberFormat="1" applyFont="1" applyBorder="1"/>
    <xf numFmtId="165" fontId="17" fillId="0" borderId="1" xfId="50" applyFont="1" applyBorder="1"/>
    <xf numFmtId="165" fontId="17" fillId="0" borderId="1" xfId="44" applyFont="1" applyFill="1" applyBorder="1" applyAlignment="1">
      <alignment horizontal="center"/>
    </xf>
    <xf numFmtId="165" fontId="19" fillId="0" borderId="1" xfId="0" applyNumberFormat="1" applyFont="1" applyBorder="1"/>
    <xf numFmtId="0" fontId="9" fillId="5" borderId="20" xfId="0" quotePrefix="1" applyFont="1" applyFill="1" applyBorder="1" applyAlignment="1">
      <alignment horizontal="center" vertical="center" wrapText="1"/>
    </xf>
    <xf numFmtId="0" fontId="9" fillId="5" borderId="18" xfId="0" quotePrefix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 wrapText="1"/>
    </xf>
    <xf numFmtId="10" fontId="7" fillId="8" borderId="0" xfId="0" applyNumberFormat="1" applyFont="1" applyFill="1" applyBorder="1" applyAlignment="1">
      <alignment horizontal="right" vertical="center"/>
    </xf>
    <xf numFmtId="4" fontId="7" fillId="8" borderId="0" xfId="0" applyNumberFormat="1" applyFont="1" applyFill="1" applyBorder="1" applyAlignment="1">
      <alignment vertical="center"/>
    </xf>
    <xf numFmtId="4" fontId="7" fillId="8" borderId="0" xfId="45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7" fillId="0" borderId="0" xfId="25" applyFont="1" applyBorder="1"/>
    <xf numFmtId="165" fontId="7" fillId="0" borderId="0" xfId="51" applyFont="1" applyBorder="1"/>
    <xf numFmtId="164" fontId="7" fillId="0" borderId="0" xfId="8" applyFont="1" applyBorder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9" fontId="36" fillId="0" borderId="1" xfId="52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vertical="center" wrapText="1"/>
    </xf>
    <xf numFmtId="0" fontId="7" fillId="5" borderId="17" xfId="0" applyFont="1" applyFill="1" applyBorder="1" applyAlignment="1">
      <alignment horizontal="center" vertical="center" wrapText="1"/>
    </xf>
    <xf numFmtId="4" fontId="7" fillId="5" borderId="17" xfId="0" applyNumberFormat="1" applyFont="1" applyFill="1" applyBorder="1" applyAlignment="1">
      <alignment horizontal="center" vertical="center"/>
    </xf>
    <xf numFmtId="4" fontId="7" fillId="5" borderId="12" xfId="0" applyNumberFormat="1" applyFont="1" applyFill="1" applyBorder="1" applyAlignment="1">
      <alignment horizontal="center" vertical="center"/>
    </xf>
    <xf numFmtId="4" fontId="7" fillId="5" borderId="9" xfId="0" applyNumberFormat="1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horizontal="right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10" fontId="7" fillId="9" borderId="0" xfId="0" applyNumberFormat="1" applyFont="1" applyFill="1" applyBorder="1" applyAlignment="1">
      <alignment horizontal="right" vertical="center"/>
    </xf>
    <xf numFmtId="4" fontId="7" fillId="9" borderId="0" xfId="0" applyNumberFormat="1" applyFont="1" applyFill="1" applyBorder="1" applyAlignment="1">
      <alignment vertical="center"/>
    </xf>
    <xf numFmtId="4" fontId="7" fillId="9" borderId="0" xfId="45" applyNumberFormat="1" applyFont="1" applyFill="1" applyBorder="1" applyAlignment="1">
      <alignment vertical="center"/>
    </xf>
    <xf numFmtId="4" fontId="0" fillId="8" borderId="0" xfId="0" applyNumberFormat="1" applyFill="1"/>
    <xf numFmtId="165" fontId="36" fillId="0" borderId="1" xfId="52" applyNumberFormat="1" applyFont="1" applyFill="1" applyBorder="1" applyAlignment="1" applyProtection="1">
      <alignment horizontal="center" vertical="center"/>
    </xf>
    <xf numFmtId="165" fontId="36" fillId="0" borderId="1" xfId="52" applyFont="1" applyFill="1" applyBorder="1" applyAlignment="1">
      <alignment horizontal="right"/>
    </xf>
    <xf numFmtId="0" fontId="27" fillId="0" borderId="6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13" fillId="0" borderId="19" xfId="0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7" fillId="0" borderId="1" xfId="25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4" fontId="11" fillId="5" borderId="7" xfId="0" applyNumberFormat="1" applyFont="1" applyFill="1" applyBorder="1" applyAlignment="1">
      <alignment horizontal="center" vertical="center" wrapText="1"/>
    </xf>
    <xf numFmtId="4" fontId="11" fillId="5" borderId="7" xfId="0" applyNumberFormat="1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/>
    </xf>
    <xf numFmtId="168" fontId="11" fillId="5" borderId="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5" borderId="1" xfId="0" quotePrefix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8" fontId="11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justify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justify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right" vertical="center" wrapText="1"/>
    </xf>
    <xf numFmtId="0" fontId="9" fillId="5" borderId="18" xfId="0" applyFont="1" applyFill="1" applyBorder="1" applyAlignment="1">
      <alignment horizontal="right" vertical="center" wrapText="1"/>
    </xf>
    <xf numFmtId="10" fontId="9" fillId="5" borderId="10" xfId="0" applyNumberFormat="1" applyFont="1" applyFill="1" applyBorder="1" applyAlignment="1">
      <alignment horizontal="right" vertical="center"/>
    </xf>
    <xf numFmtId="10" fontId="9" fillId="5" borderId="18" xfId="0" applyNumberFormat="1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20" xfId="0" quotePrefix="1" applyFont="1" applyFill="1" applyBorder="1" applyAlignment="1">
      <alignment horizontal="center" vertical="center" wrapText="1"/>
    </xf>
    <xf numFmtId="0" fontId="9" fillId="5" borderId="18" xfId="0" quotePrefix="1" applyFont="1" applyFill="1" applyBorder="1" applyAlignment="1">
      <alignment horizontal="center" vertical="center" wrapText="1"/>
    </xf>
    <xf numFmtId="0" fontId="9" fillId="5" borderId="10" xfId="0" quotePrefix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right" vertical="center" wrapText="1"/>
    </xf>
    <xf numFmtId="0" fontId="9" fillId="5" borderId="17" xfId="0" applyFont="1" applyFill="1" applyBorder="1" applyAlignment="1">
      <alignment horizontal="right" vertical="center" wrapText="1"/>
    </xf>
    <xf numFmtId="0" fontId="9" fillId="5" borderId="9" xfId="0" applyFont="1" applyFill="1" applyBorder="1" applyAlignment="1">
      <alignment horizontal="right" vertical="center" wrapText="1"/>
    </xf>
    <xf numFmtId="0" fontId="13" fillId="5" borderId="12" xfId="0" applyFont="1" applyFill="1" applyBorder="1" applyAlignment="1">
      <alignment horizontal="right"/>
    </xf>
    <xf numFmtId="0" fontId="13" fillId="5" borderId="17" xfId="0" applyFont="1" applyFill="1" applyBorder="1" applyAlignment="1">
      <alignment horizontal="right"/>
    </xf>
    <xf numFmtId="0" fontId="13" fillId="5" borderId="35" xfId="0" applyFont="1" applyFill="1" applyBorder="1" applyAlignment="1">
      <alignment horizontal="right"/>
    </xf>
    <xf numFmtId="0" fontId="11" fillId="5" borderId="18" xfId="0" applyFont="1" applyFill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11" fillId="5" borderId="10" xfId="0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4" fontId="13" fillId="5" borderId="12" xfId="0" applyNumberFormat="1" applyFont="1" applyFill="1" applyBorder="1" applyAlignment="1">
      <alignment horizontal="center" vertical="center" wrapText="1"/>
    </xf>
    <xf numFmtId="4" fontId="13" fillId="5" borderId="17" xfId="0" applyNumberFormat="1" applyFont="1" applyFill="1" applyBorder="1" applyAlignment="1">
      <alignment horizontal="center" vertical="center" wrapText="1"/>
    </xf>
    <xf numFmtId="4" fontId="13" fillId="5" borderId="9" xfId="0" applyNumberFormat="1" applyFont="1" applyFill="1" applyBorder="1" applyAlignment="1">
      <alignment horizontal="center" vertical="center" wrapText="1"/>
    </xf>
    <xf numFmtId="4" fontId="13" fillId="5" borderId="8" xfId="0" applyNumberFormat="1" applyFont="1" applyFill="1" applyBorder="1" applyAlignment="1">
      <alignment horizontal="center"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4" fontId="13" fillId="5" borderId="24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0" fontId="9" fillId="0" borderId="0" xfId="44" applyNumberFormat="1" applyFont="1" applyBorder="1" applyAlignment="1">
      <alignment horizontal="center" vertical="center" wrapText="1"/>
    </xf>
    <xf numFmtId="168" fontId="13" fillId="5" borderId="1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right" vertical="center" wrapText="1"/>
    </xf>
    <xf numFmtId="0" fontId="13" fillId="5" borderId="48" xfId="0" applyFont="1" applyFill="1" applyBorder="1" applyAlignment="1">
      <alignment horizontal="right" vertical="center" wrapText="1"/>
    </xf>
    <xf numFmtId="0" fontId="23" fillId="8" borderId="0" xfId="24" applyFont="1" applyFill="1" applyBorder="1"/>
    <xf numFmtId="10" fontId="17" fillId="8" borderId="0" xfId="0" applyNumberFormat="1" applyFont="1" applyFill="1" applyBorder="1" applyAlignment="1">
      <alignment horizontal="center" vertical="center"/>
    </xf>
    <xf numFmtId="14" fontId="13" fillId="7" borderId="0" xfId="0" applyNumberFormat="1" applyFont="1" applyFill="1" applyBorder="1" applyAlignment="1">
      <alignment horizontal="center" vertical="center" wrapText="1"/>
    </xf>
    <xf numFmtId="0" fontId="23" fillId="0" borderId="0" xfId="24" applyFont="1" applyBorder="1"/>
    <xf numFmtId="4" fontId="13" fillId="7" borderId="0" xfId="0" applyNumberFormat="1" applyFont="1" applyFill="1" applyBorder="1" applyAlignment="1">
      <alignment horizontal="center" vertical="center" wrapText="1"/>
    </xf>
    <xf numFmtId="10" fontId="17" fillId="7" borderId="6" xfId="0" applyNumberFormat="1" applyFont="1" applyFill="1" applyBorder="1" applyAlignment="1">
      <alignment horizontal="center" vertical="center"/>
    </xf>
    <xf numFmtId="10" fontId="17" fillId="7" borderId="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0" fontId="7" fillId="5" borderId="18" xfId="0" applyFont="1" applyFill="1" applyBorder="1" applyAlignment="1">
      <alignment horizontal="left" wrapText="1"/>
    </xf>
    <xf numFmtId="0" fontId="0" fillId="5" borderId="1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0" fontId="17" fillId="0" borderId="1" xfId="34" applyNumberFormat="1" applyFont="1" applyBorder="1" applyAlignment="1">
      <alignment horizontal="center" vertical="center"/>
    </xf>
    <xf numFmtId="165" fontId="17" fillId="5" borderId="1" xfId="34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165" fontId="17" fillId="5" borderId="5" xfId="34" applyNumberFormat="1" applyFont="1" applyFill="1" applyBorder="1" applyAlignment="1">
      <alignment horizontal="center" vertical="center"/>
    </xf>
    <xf numFmtId="165" fontId="17" fillId="5" borderId="7" xfId="3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0" fontId="17" fillId="0" borderId="5" xfId="34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165" fontId="17" fillId="0" borderId="1" xfId="34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5" fontId="17" fillId="0" borderId="5" xfId="34" applyNumberFormat="1" applyFont="1" applyFill="1" applyBorder="1" applyAlignment="1">
      <alignment horizontal="center" vertical="center"/>
    </xf>
    <xf numFmtId="165" fontId="17" fillId="0" borderId="4" xfId="34" applyNumberFormat="1" applyFont="1" applyFill="1" applyBorder="1" applyAlignment="1">
      <alignment horizontal="center" vertical="center"/>
    </xf>
    <xf numFmtId="165" fontId="17" fillId="0" borderId="7" xfId="34" applyNumberFormat="1" applyFont="1" applyFill="1" applyBorder="1" applyAlignment="1">
      <alignment horizontal="center" vertical="center"/>
    </xf>
    <xf numFmtId="10" fontId="17" fillId="0" borderId="5" xfId="34" applyNumberFormat="1" applyFont="1" applyFill="1" applyBorder="1" applyAlignment="1">
      <alignment horizontal="center"/>
    </xf>
    <xf numFmtId="10" fontId="17" fillId="0" borderId="4" xfId="34" applyNumberFormat="1" applyFont="1" applyFill="1" applyBorder="1" applyAlignment="1">
      <alignment horizontal="center"/>
    </xf>
    <xf numFmtId="10" fontId="17" fillId="0" borderId="7" xfId="34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0" fontId="17" fillId="0" borderId="4" xfId="34" applyNumberFormat="1" applyFont="1" applyBorder="1" applyAlignment="1">
      <alignment horizontal="center" vertical="center"/>
    </xf>
    <xf numFmtId="10" fontId="17" fillId="0" borderId="22" xfId="34" applyNumberFormat="1" applyFont="1" applyBorder="1" applyAlignment="1">
      <alignment horizontal="center" vertical="center"/>
    </xf>
    <xf numFmtId="165" fontId="17" fillId="0" borderId="22" xfId="34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5" fontId="17" fillId="0" borderId="5" xfId="50" applyFont="1" applyFill="1" applyBorder="1" applyAlignment="1">
      <alignment horizontal="center"/>
    </xf>
    <xf numFmtId="165" fontId="17" fillId="0" borderId="4" xfId="50" applyFont="1" applyFill="1" applyBorder="1" applyAlignment="1">
      <alignment horizontal="center"/>
    </xf>
    <xf numFmtId="165" fontId="17" fillId="0" borderId="7" xfId="50" applyFont="1" applyFill="1" applyBorder="1" applyAlignment="1">
      <alignment horizontal="center"/>
    </xf>
    <xf numFmtId="10" fontId="17" fillId="0" borderId="5" xfId="34" applyNumberFormat="1" applyFont="1" applyBorder="1" applyAlignment="1">
      <alignment horizontal="center"/>
    </xf>
    <xf numFmtId="10" fontId="17" fillId="0" borderId="4" xfId="34" applyNumberFormat="1" applyFont="1" applyBorder="1" applyAlignment="1">
      <alignment horizontal="center"/>
    </xf>
    <xf numFmtId="10" fontId="17" fillId="0" borderId="7" xfId="34" applyNumberFormat="1" applyFont="1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165" fontId="17" fillId="0" borderId="5" xfId="50" applyFont="1" applyBorder="1" applyAlignment="1">
      <alignment horizontal="center"/>
    </xf>
    <xf numFmtId="165" fontId="17" fillId="0" borderId="4" xfId="50" applyFont="1" applyBorder="1" applyAlignment="1">
      <alignment horizontal="center"/>
    </xf>
    <xf numFmtId="165" fontId="17" fillId="0" borderId="7" xfId="50" applyFont="1" applyBorder="1" applyAlignment="1">
      <alignment horizontal="center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49" fontId="1" fillId="0" borderId="26" xfId="32" applyNumberFormat="1" applyFont="1" applyBorder="1" applyAlignment="1">
      <alignment horizontal="left"/>
    </xf>
    <xf numFmtId="49" fontId="7" fillId="0" borderId="26" xfId="32" applyNumberFormat="1" applyFont="1" applyBorder="1" applyAlignment="1">
      <alignment horizontal="left"/>
    </xf>
    <xf numFmtId="49" fontId="7" fillId="0" borderId="21" xfId="32" applyNumberFormat="1" applyFont="1" applyBorder="1" applyAlignment="1">
      <alignment horizontal="left"/>
    </xf>
    <xf numFmtId="0" fontId="9" fillId="10" borderId="30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49" fontId="1" fillId="0" borderId="26" xfId="32" applyNumberFormat="1" applyFont="1" applyBorder="1" applyAlignment="1">
      <alignment horizontal="left" wrapText="1"/>
    </xf>
    <xf numFmtId="49" fontId="6" fillId="0" borderId="26" xfId="32" applyNumberFormat="1" applyFont="1" applyBorder="1" applyAlignment="1">
      <alignment horizontal="left" wrapText="1"/>
    </xf>
    <xf numFmtId="49" fontId="6" fillId="0" borderId="21" xfId="32" applyNumberFormat="1" applyFont="1" applyBorder="1" applyAlignment="1">
      <alignment horizontal="left" wrapText="1"/>
    </xf>
    <xf numFmtId="0" fontId="9" fillId="14" borderId="32" xfId="24" applyFont="1" applyFill="1" applyBorder="1" applyAlignment="1">
      <alignment horizontal="left" vertical="center" wrapText="1"/>
    </xf>
    <xf numFmtId="0" fontId="9" fillId="10" borderId="40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left" vertical="center" wrapText="1"/>
    </xf>
    <xf numFmtId="49" fontId="3" fillId="0" borderId="26" xfId="32" applyNumberFormat="1" applyFont="1" applyBorder="1" applyAlignment="1">
      <alignment horizontal="left" wrapText="1"/>
    </xf>
    <xf numFmtId="49" fontId="4" fillId="0" borderId="26" xfId="32" applyNumberFormat="1" applyFont="1" applyBorder="1" applyAlignment="1">
      <alignment horizontal="left" wrapText="1"/>
    </xf>
    <xf numFmtId="49" fontId="4" fillId="0" borderId="21" xfId="32" applyNumberFormat="1" applyFont="1" applyBorder="1" applyAlignment="1">
      <alignment horizontal="left" wrapText="1"/>
    </xf>
    <xf numFmtId="49" fontId="5" fillId="0" borderId="26" xfId="32" applyNumberFormat="1" applyFont="1" applyBorder="1" applyAlignment="1">
      <alignment horizontal="left" wrapText="1"/>
    </xf>
    <xf numFmtId="49" fontId="5" fillId="0" borderId="21" xfId="32" applyNumberFormat="1" applyFont="1" applyBorder="1" applyAlignment="1">
      <alignment horizontal="left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49" fontId="2" fillId="0" borderId="26" xfId="32" applyNumberFormat="1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4" fontId="18" fillId="0" borderId="13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</cellXfs>
  <cellStyles count="66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Normal_Pesquisa no referencial 10 de maio de 2013" xfId="64"/>
    <cellStyle name="Porcentagem" xfId="65" builtinId="5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20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</xdr:row>
      <xdr:rowOff>37316</xdr:rowOff>
    </xdr:from>
    <xdr:to>
      <xdr:col>2</xdr:col>
      <xdr:colOff>1090083</xdr:colOff>
      <xdr:row>7</xdr:row>
      <xdr:rowOff>148714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1" y="100816"/>
          <a:ext cx="1534582" cy="144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123825</xdr:rowOff>
    </xdr:from>
    <xdr:to>
      <xdr:col>2</xdr:col>
      <xdr:colOff>639232</xdr:colOff>
      <xdr:row>6</xdr:row>
      <xdr:rowOff>82823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71450"/>
          <a:ext cx="1534582" cy="144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176</xdr:row>
      <xdr:rowOff>0</xdr:rowOff>
    </xdr:from>
    <xdr:to>
      <xdr:col>3</xdr:col>
      <xdr:colOff>152400</xdr:colOff>
      <xdr:row>176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152400</xdr:colOff>
      <xdr:row>176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152400</xdr:colOff>
      <xdr:row>200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152400</xdr:colOff>
      <xdr:row>209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152400</xdr:colOff>
      <xdr:row>219</xdr:row>
      <xdr:rowOff>152400</xdr:rowOff>
    </xdr:to>
    <xdr:sp macro="" textlink="">
      <xdr:nvSpPr>
        <xdr:cNvPr id="6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172497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152400</xdr:colOff>
      <xdr:row>230</xdr:row>
      <xdr:rowOff>152400</xdr:rowOff>
    </xdr:to>
    <xdr:sp macro="" textlink="">
      <xdr:nvSpPr>
        <xdr:cNvPr id="7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215646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152400</xdr:colOff>
      <xdr:row>182</xdr:row>
      <xdr:rowOff>152400</xdr:rowOff>
    </xdr:to>
    <xdr:sp macro="" textlink="">
      <xdr:nvSpPr>
        <xdr:cNvPr id="8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109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152400</xdr:colOff>
      <xdr:row>190</xdr:row>
      <xdr:rowOff>152400</xdr:rowOff>
    </xdr:to>
    <xdr:sp macro="" textlink="">
      <xdr:nvSpPr>
        <xdr:cNvPr id="9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9"/>
  <sheetViews>
    <sheetView tabSelected="1" view="pageBreakPreview" topLeftCell="A226" zoomScale="90" zoomScaleSheetLayoutView="90" workbookViewId="0">
      <selection activeCell="O242" sqref="O242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.88671875" style="3" customWidth="1"/>
    <col min="5" max="5" width="12.88671875" style="4" customWidth="1"/>
    <col min="6" max="6" width="9.109375" style="4" bestFit="1" customWidth="1"/>
    <col min="7" max="7" width="10" style="5" customWidth="1"/>
    <col min="8" max="8" width="10.88671875" customWidth="1"/>
    <col min="9" max="9" width="14.88671875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/>
    <row r="2" spans="2:17" s="1" customFormat="1" ht="5.25" customHeight="1">
      <c r="B2" s="394"/>
      <c r="C2" s="395"/>
      <c r="D2" s="395"/>
      <c r="E2" s="395"/>
      <c r="F2" s="395"/>
      <c r="G2" s="395"/>
      <c r="H2" s="395"/>
      <c r="I2" s="396"/>
      <c r="J2" s="94"/>
      <c r="K2" s="94"/>
      <c r="L2" s="56"/>
      <c r="N2" s="6"/>
    </row>
    <row r="3" spans="2:17" s="1" customFormat="1" ht="20.25" customHeight="1">
      <c r="B3" s="415" t="s">
        <v>83</v>
      </c>
      <c r="C3" s="416"/>
      <c r="D3" s="416"/>
      <c r="E3" s="416"/>
      <c r="F3" s="416"/>
      <c r="G3" s="416"/>
      <c r="H3" s="416"/>
      <c r="I3" s="417"/>
      <c r="J3" s="91"/>
      <c r="K3" s="91"/>
      <c r="L3" s="77"/>
      <c r="N3" s="6"/>
    </row>
    <row r="4" spans="2:17" s="1" customFormat="1" ht="2.25" customHeight="1">
      <c r="B4" s="337"/>
      <c r="C4" s="91"/>
      <c r="D4" s="91"/>
      <c r="E4" s="91"/>
      <c r="F4" s="91"/>
      <c r="G4" s="91"/>
      <c r="H4" s="91"/>
      <c r="I4" s="338"/>
      <c r="J4" s="91"/>
      <c r="K4" s="91"/>
      <c r="L4" s="77"/>
      <c r="N4" s="6"/>
    </row>
    <row r="5" spans="2:17" s="1" customFormat="1" ht="15" customHeight="1">
      <c r="B5" s="409" t="s">
        <v>687</v>
      </c>
      <c r="C5" s="410"/>
      <c r="D5" s="410"/>
      <c r="E5" s="410"/>
      <c r="F5" s="410"/>
      <c r="G5" s="410"/>
      <c r="H5" s="410"/>
      <c r="I5" s="411"/>
      <c r="J5" s="92"/>
      <c r="K5" s="92"/>
      <c r="L5" s="77"/>
      <c r="N5" s="6"/>
    </row>
    <row r="6" spans="2:17" s="1" customFormat="1" ht="37.5" customHeight="1">
      <c r="B6" s="412" t="s">
        <v>588</v>
      </c>
      <c r="C6" s="413"/>
      <c r="D6" s="413"/>
      <c r="E6" s="413"/>
      <c r="F6" s="413"/>
      <c r="G6" s="413"/>
      <c r="H6" s="413"/>
      <c r="I6" s="414"/>
      <c r="J6" s="93"/>
      <c r="K6" s="93"/>
      <c r="L6" s="9"/>
      <c r="N6" s="6"/>
    </row>
    <row r="7" spans="2:17" s="1" customFormat="1" ht="24.75" customHeight="1">
      <c r="B7" s="412" t="s">
        <v>120</v>
      </c>
      <c r="C7" s="413"/>
      <c r="D7" s="413"/>
      <c r="E7" s="413"/>
      <c r="F7" s="413"/>
      <c r="G7" s="413"/>
      <c r="H7" s="418" t="s">
        <v>82</v>
      </c>
      <c r="I7" s="419"/>
      <c r="J7" s="424" t="s">
        <v>82</v>
      </c>
      <c r="K7" s="424"/>
      <c r="L7" s="77"/>
      <c r="N7" s="6"/>
    </row>
    <row r="8" spans="2:17" s="1" customFormat="1" ht="15" customHeight="1">
      <c r="B8" s="429" t="s">
        <v>92</v>
      </c>
      <c r="C8" s="430"/>
      <c r="D8" s="430"/>
      <c r="E8" s="430"/>
      <c r="F8" s="430"/>
      <c r="G8" s="430"/>
      <c r="H8" s="430"/>
      <c r="I8" s="431"/>
      <c r="J8" s="424" t="s">
        <v>82</v>
      </c>
      <c r="K8" s="424"/>
      <c r="L8" s="77"/>
      <c r="N8" s="6"/>
    </row>
    <row r="9" spans="2:17" s="1" customFormat="1" ht="16.2" thickBot="1">
      <c r="B9" s="433" t="s">
        <v>349</v>
      </c>
      <c r="C9" s="434"/>
      <c r="D9" s="434"/>
      <c r="E9" s="434"/>
      <c r="F9" s="434"/>
      <c r="G9" s="434"/>
      <c r="H9" s="435" t="s">
        <v>460</v>
      </c>
      <c r="I9" s="436"/>
      <c r="J9" s="432" t="s">
        <v>50</v>
      </c>
      <c r="K9" s="432"/>
      <c r="L9" s="256"/>
      <c r="N9" s="6"/>
    </row>
    <row r="10" spans="2:17" s="1" customFormat="1" ht="15" customHeight="1" thickTop="1">
      <c r="B10" s="400" t="s">
        <v>0</v>
      </c>
      <c r="C10" s="420" t="s">
        <v>1</v>
      </c>
      <c r="D10" s="420" t="s">
        <v>2</v>
      </c>
      <c r="E10" s="426" t="s">
        <v>51</v>
      </c>
      <c r="F10" s="425" t="s">
        <v>34</v>
      </c>
      <c r="G10" s="403" t="s">
        <v>33</v>
      </c>
      <c r="H10" s="404"/>
      <c r="I10" s="405"/>
      <c r="J10" s="439">
        <v>42933</v>
      </c>
      <c r="K10" s="439"/>
      <c r="L10" s="257"/>
      <c r="N10" s="6"/>
    </row>
    <row r="11" spans="2:17" s="1" customFormat="1" ht="15" customHeight="1">
      <c r="B11" s="401"/>
      <c r="C11" s="420"/>
      <c r="D11" s="420"/>
      <c r="E11" s="427"/>
      <c r="F11" s="425"/>
      <c r="G11" s="406"/>
      <c r="H11" s="407"/>
      <c r="I11" s="408"/>
      <c r="J11" s="441" t="s">
        <v>46</v>
      </c>
      <c r="K11" s="441"/>
      <c r="L11" s="257"/>
      <c r="N11" s="6"/>
    </row>
    <row r="12" spans="2:17" s="2" customFormat="1" ht="12.75" customHeight="1">
      <c r="B12" s="402"/>
      <c r="C12" s="420"/>
      <c r="D12" s="420"/>
      <c r="E12" s="428"/>
      <c r="F12" s="425"/>
      <c r="G12" s="55" t="s">
        <v>3</v>
      </c>
      <c r="H12" s="55" t="s">
        <v>30</v>
      </c>
      <c r="I12" s="55" t="s">
        <v>31</v>
      </c>
      <c r="J12" s="95" t="s">
        <v>8</v>
      </c>
      <c r="K12" s="96" t="s">
        <v>47</v>
      </c>
      <c r="L12" s="258"/>
      <c r="M12" s="7"/>
      <c r="N12" s="7"/>
    </row>
    <row r="13" spans="2:17" s="1" customFormat="1" ht="15" hidden="1" customHeight="1">
      <c r="B13" s="150"/>
      <c r="C13" s="17"/>
      <c r="D13" s="287"/>
      <c r="E13" s="288"/>
      <c r="F13" s="289"/>
      <c r="G13" s="290"/>
      <c r="H13" s="291">
        <v>0.27629999999999999</v>
      </c>
      <c r="I13" s="292"/>
      <c r="J13" s="442" t="s">
        <v>48</v>
      </c>
      <c r="K13" s="443"/>
      <c r="L13" s="259"/>
      <c r="N13" s="440"/>
      <c r="O13" s="440"/>
      <c r="P13" s="440"/>
      <c r="Q13" s="69"/>
    </row>
    <row r="14" spans="2:17" s="78" customFormat="1" ht="15.75" customHeight="1">
      <c r="B14" s="150">
        <v>1</v>
      </c>
      <c r="C14" s="191" t="s">
        <v>4</v>
      </c>
      <c r="D14" s="293"/>
      <c r="E14" s="294"/>
      <c r="F14" s="295"/>
      <c r="G14" s="296"/>
      <c r="H14" s="297"/>
      <c r="I14" s="298"/>
      <c r="J14" s="438" t="s">
        <v>48</v>
      </c>
      <c r="K14" s="438"/>
      <c r="L14" s="259"/>
      <c r="N14" s="437"/>
      <c r="O14" s="437"/>
      <c r="P14" s="437"/>
      <c r="Q14" s="79"/>
    </row>
    <row r="15" spans="2:17" s="78" customFormat="1" ht="27.75" customHeight="1">
      <c r="B15" s="343" t="s">
        <v>96</v>
      </c>
      <c r="C15" s="344" t="s">
        <v>91</v>
      </c>
      <c r="D15" s="345" t="s">
        <v>459</v>
      </c>
      <c r="E15" s="189" t="s">
        <v>630</v>
      </c>
      <c r="F15" s="346">
        <v>6</v>
      </c>
      <c r="G15" s="347">
        <f>COMPOSIÇÃO!H12</f>
        <v>1303.42</v>
      </c>
      <c r="H15" s="348">
        <f>TRUNC(G15*$H$13+G15,2)</f>
        <v>1663.55</v>
      </c>
      <c r="I15" s="348">
        <f>TRUNC(H15*F15,2)</f>
        <v>9981.2999999999993</v>
      </c>
      <c r="J15" s="278"/>
      <c r="K15" s="278"/>
      <c r="L15" s="259"/>
      <c r="N15" s="277"/>
      <c r="O15" s="277"/>
      <c r="P15" s="277"/>
      <c r="Q15" s="277"/>
    </row>
    <row r="16" spans="2:17" s="81" customFormat="1" ht="18" customHeight="1">
      <c r="B16" s="343" t="s">
        <v>199</v>
      </c>
      <c r="C16" s="344" t="s">
        <v>28</v>
      </c>
      <c r="D16" s="349" t="s">
        <v>53</v>
      </c>
      <c r="E16" s="350" t="s">
        <v>63</v>
      </c>
      <c r="F16" s="65">
        <v>2.5</v>
      </c>
      <c r="G16" s="66">
        <v>309.81</v>
      </c>
      <c r="H16" s="67">
        <f>TRUNC(G16*(1+$H$13),2)</f>
        <v>395.41</v>
      </c>
      <c r="I16" s="67">
        <f t="shared" ref="I16:I20" si="0">TRUNC(H16*F16,2)</f>
        <v>988.52</v>
      </c>
      <c r="J16" s="101">
        <v>0</v>
      </c>
      <c r="K16" s="102" t="e">
        <f>(J16*#REF!)</f>
        <v>#REF!</v>
      </c>
      <c r="L16" s="261"/>
      <c r="N16" s="437"/>
      <c r="O16" s="437"/>
      <c r="P16" s="437"/>
      <c r="Q16" s="82"/>
    </row>
    <row r="17" spans="2:14" s="81" customFormat="1" ht="34.5" customHeight="1">
      <c r="B17" s="343" t="s">
        <v>262</v>
      </c>
      <c r="C17" s="344" t="s">
        <v>64</v>
      </c>
      <c r="D17" s="349" t="s">
        <v>53</v>
      </c>
      <c r="E17" s="351">
        <v>93584</v>
      </c>
      <c r="F17" s="65">
        <v>6</v>
      </c>
      <c r="G17" s="66">
        <v>454.1</v>
      </c>
      <c r="H17" s="67">
        <f>TRUNC(G17*(1+$H$13),2)</f>
        <v>579.55999999999995</v>
      </c>
      <c r="I17" s="67">
        <f t="shared" si="0"/>
        <v>3477.36</v>
      </c>
      <c r="J17" s="101">
        <v>1</v>
      </c>
      <c r="K17" s="102" t="e">
        <f>(J17*#REF!)</f>
        <v>#REF!</v>
      </c>
      <c r="L17" s="70"/>
      <c r="N17" s="83"/>
    </row>
    <row r="18" spans="2:14" s="81" customFormat="1" ht="34.5" customHeight="1">
      <c r="B18" s="343" t="s">
        <v>290</v>
      </c>
      <c r="C18" s="352" t="s">
        <v>586</v>
      </c>
      <c r="D18" s="349" t="s">
        <v>53</v>
      </c>
      <c r="E18" s="353" t="s">
        <v>585</v>
      </c>
      <c r="F18" s="65">
        <v>600.02</v>
      </c>
      <c r="G18" s="66">
        <v>4.53</v>
      </c>
      <c r="H18" s="67">
        <f>TRUNC(G18*(1+$H$13),2)</f>
        <v>5.78</v>
      </c>
      <c r="I18" s="67">
        <f t="shared" ref="I18" si="1">TRUNC(H18*F18,2)</f>
        <v>3468.11</v>
      </c>
      <c r="J18" s="101">
        <v>1</v>
      </c>
      <c r="K18" s="102" t="e">
        <f>(J18*#REF!)</f>
        <v>#REF!</v>
      </c>
      <c r="L18" s="70"/>
      <c r="N18" s="83"/>
    </row>
    <row r="19" spans="2:14" s="81" customFormat="1" ht="34.5" customHeight="1">
      <c r="B19" s="343" t="s">
        <v>464</v>
      </c>
      <c r="C19" s="344" t="s">
        <v>291</v>
      </c>
      <c r="D19" s="349" t="s">
        <v>53</v>
      </c>
      <c r="E19" s="351" t="s">
        <v>292</v>
      </c>
      <c r="F19" s="65">
        <v>960</v>
      </c>
      <c r="G19" s="66">
        <v>3.56</v>
      </c>
      <c r="H19" s="67">
        <f>TRUNC(G19*(1+$H$13),2)</f>
        <v>4.54</v>
      </c>
      <c r="I19" s="67">
        <f t="shared" si="0"/>
        <v>4358.3999999999996</v>
      </c>
      <c r="J19" s="101"/>
      <c r="K19" s="102"/>
      <c r="L19" s="70"/>
      <c r="N19" s="83"/>
    </row>
    <row r="20" spans="2:14" s="81" customFormat="1" ht="34.5" customHeight="1">
      <c r="B20" s="343" t="s">
        <v>587</v>
      </c>
      <c r="C20" s="352" t="s">
        <v>275</v>
      </c>
      <c r="D20" s="354" t="s">
        <v>55</v>
      </c>
      <c r="E20" s="351">
        <v>97622</v>
      </c>
      <c r="F20" s="65">
        <v>12</v>
      </c>
      <c r="G20" s="66">
        <v>37.04</v>
      </c>
      <c r="H20" s="67">
        <f>TRUNC(G20*(1+$H$13),2)</f>
        <v>47.27</v>
      </c>
      <c r="I20" s="67">
        <f t="shared" si="0"/>
        <v>567.24</v>
      </c>
      <c r="J20" s="101"/>
      <c r="K20" s="102"/>
      <c r="L20" s="70"/>
      <c r="N20" s="83"/>
    </row>
    <row r="21" spans="2:14" s="2" customFormat="1" ht="15.75" customHeight="1">
      <c r="B21" s="374" t="s">
        <v>6</v>
      </c>
      <c r="C21" s="375"/>
      <c r="D21" s="375"/>
      <c r="E21" s="375"/>
      <c r="F21" s="375"/>
      <c r="G21" s="377">
        <f>(100%)</f>
        <v>1</v>
      </c>
      <c r="H21" s="378"/>
      <c r="I21" s="151">
        <f>SUM(I15:I20)</f>
        <v>22840.930000000004</v>
      </c>
      <c r="J21" s="99" t="e">
        <f>(K21/#REF!)</f>
        <v>#REF!</v>
      </c>
      <c r="K21" s="100" t="e">
        <f>SUM(K16:K17)</f>
        <v>#REF!</v>
      </c>
      <c r="L21" s="260"/>
      <c r="N21" s="7"/>
    </row>
    <row r="22" spans="2:14" s="81" customFormat="1" ht="18.75" customHeight="1">
      <c r="B22" s="150">
        <v>2</v>
      </c>
      <c r="C22" s="355" t="s">
        <v>5</v>
      </c>
      <c r="D22" s="397"/>
      <c r="E22" s="398"/>
      <c r="F22" s="398"/>
      <c r="G22" s="398"/>
      <c r="H22" s="398"/>
      <c r="I22" s="399"/>
      <c r="J22" s="80"/>
      <c r="K22" s="80"/>
      <c r="L22" s="84"/>
      <c r="N22" s="83"/>
    </row>
    <row r="23" spans="2:14" s="81" customFormat="1" ht="34.5" customHeight="1">
      <c r="B23" s="343" t="s">
        <v>97</v>
      </c>
      <c r="C23" s="63" t="s">
        <v>117</v>
      </c>
      <c r="D23" s="349" t="s">
        <v>55</v>
      </c>
      <c r="E23" s="188">
        <v>93358</v>
      </c>
      <c r="F23" s="65">
        <v>38.049999999999997</v>
      </c>
      <c r="G23" s="66">
        <v>56.33</v>
      </c>
      <c r="H23" s="67">
        <f>TRUNC(G23*(1+$H$13),2)</f>
        <v>71.89</v>
      </c>
      <c r="I23" s="67">
        <f>TRUNC(H23*F23,2)</f>
        <v>2735.41</v>
      </c>
      <c r="J23" s="101">
        <v>0</v>
      </c>
      <c r="K23" s="102" t="e">
        <f>(J23*#REF!)</f>
        <v>#REF!</v>
      </c>
      <c r="L23" s="80"/>
      <c r="N23" s="83"/>
    </row>
    <row r="24" spans="2:14" s="81" customFormat="1" ht="29.25" customHeight="1">
      <c r="B24" s="343" t="s">
        <v>98</v>
      </c>
      <c r="C24" s="63" t="s">
        <v>93</v>
      </c>
      <c r="D24" s="349" t="s">
        <v>55</v>
      </c>
      <c r="E24" s="144">
        <v>96995</v>
      </c>
      <c r="F24" s="65">
        <v>27.11</v>
      </c>
      <c r="G24" s="66">
        <v>34.15</v>
      </c>
      <c r="H24" s="67">
        <f t="shared" ref="H24:H25" si="2">TRUNC(G24*(1+$H$13),2)</f>
        <v>43.58</v>
      </c>
      <c r="I24" s="67">
        <f t="shared" ref="I24:I25" si="3">TRUNC(H24*F24,2)</f>
        <v>1181.45</v>
      </c>
      <c r="J24" s="101">
        <v>0</v>
      </c>
      <c r="K24" s="102" t="e">
        <f>(J24*#REF!)</f>
        <v>#REF!</v>
      </c>
      <c r="L24" s="80"/>
      <c r="N24" s="83"/>
    </row>
    <row r="25" spans="2:14" s="81" customFormat="1" ht="30" customHeight="1">
      <c r="B25" s="343" t="s">
        <v>200</v>
      </c>
      <c r="C25" s="63" t="s">
        <v>170</v>
      </c>
      <c r="D25" s="349" t="s">
        <v>53</v>
      </c>
      <c r="E25" s="188">
        <v>94097</v>
      </c>
      <c r="F25" s="65">
        <v>38.049999999999997</v>
      </c>
      <c r="G25" s="66">
        <v>4.13</v>
      </c>
      <c r="H25" s="67">
        <f t="shared" si="2"/>
        <v>5.27</v>
      </c>
      <c r="I25" s="67">
        <f t="shared" si="3"/>
        <v>200.52</v>
      </c>
      <c r="J25" s="101">
        <v>0</v>
      </c>
      <c r="K25" s="102" t="e">
        <f>(J25*#REF!)</f>
        <v>#REF!</v>
      </c>
      <c r="L25" s="80"/>
      <c r="N25" s="83"/>
    </row>
    <row r="26" spans="2:14" s="81" customFormat="1" ht="49.5" customHeight="1">
      <c r="B26" s="343" t="s">
        <v>568</v>
      </c>
      <c r="C26" s="214" t="s">
        <v>567</v>
      </c>
      <c r="D26" s="349" t="s">
        <v>55</v>
      </c>
      <c r="E26" s="144">
        <v>96385</v>
      </c>
      <c r="F26" s="65">
        <v>110.14</v>
      </c>
      <c r="G26" s="66">
        <v>4.92</v>
      </c>
      <c r="H26" s="67">
        <f t="shared" ref="H26" si="4">TRUNC(G26*(1+$H$13),2)</f>
        <v>6.27</v>
      </c>
      <c r="I26" s="67">
        <f t="shared" ref="I26" si="5">TRUNC(H26*F26,2)</f>
        <v>690.57</v>
      </c>
      <c r="J26" s="101">
        <v>0</v>
      </c>
      <c r="K26" s="102" t="e">
        <f>(J26*#REF!)</f>
        <v>#REF!</v>
      </c>
      <c r="L26" s="80"/>
      <c r="N26" s="83"/>
    </row>
    <row r="27" spans="2:14" s="2" customFormat="1" ht="15.75" customHeight="1">
      <c r="B27" s="374" t="s">
        <v>6</v>
      </c>
      <c r="C27" s="375"/>
      <c r="D27" s="375"/>
      <c r="E27" s="375"/>
      <c r="F27" s="375"/>
      <c r="G27" s="377">
        <f>(100%)</f>
        <v>1</v>
      </c>
      <c r="H27" s="378"/>
      <c r="I27" s="151">
        <f>SUM(I23,I24,I25,I26)</f>
        <v>4807.95</v>
      </c>
      <c r="J27" s="99">
        <v>0</v>
      </c>
      <c r="K27" s="100" t="e">
        <f>SUM(K22:K25)</f>
        <v>#REF!</v>
      </c>
      <c r="L27" s="58"/>
      <c r="N27" s="7"/>
    </row>
    <row r="28" spans="2:14" s="81" customFormat="1" ht="16.5" customHeight="1">
      <c r="B28" s="150">
        <v>3</v>
      </c>
      <c r="C28" s="17" t="s">
        <v>36</v>
      </c>
      <c r="D28" s="421"/>
      <c r="E28" s="422"/>
      <c r="F28" s="422"/>
      <c r="G28" s="422"/>
      <c r="H28" s="422"/>
      <c r="I28" s="423"/>
      <c r="J28" s="80"/>
      <c r="K28" s="80"/>
      <c r="L28" s="85"/>
      <c r="N28" s="83"/>
    </row>
    <row r="29" spans="2:14" s="81" customFormat="1" ht="42" customHeight="1">
      <c r="B29" s="343" t="s">
        <v>95</v>
      </c>
      <c r="C29" s="356" t="s">
        <v>61</v>
      </c>
      <c r="D29" s="349" t="s">
        <v>55</v>
      </c>
      <c r="E29" s="188">
        <v>94962</v>
      </c>
      <c r="F29" s="65">
        <v>1.9</v>
      </c>
      <c r="G29" s="66">
        <v>250.85</v>
      </c>
      <c r="H29" s="67">
        <f t="shared" ref="H29:H36" si="6">TRUNC(G29*(1+$H$13),2)</f>
        <v>320.14999999999998</v>
      </c>
      <c r="I29" s="67">
        <f t="shared" ref="I29:I36" si="7">TRUNC(H29*F29,2)</f>
        <v>608.28</v>
      </c>
      <c r="J29" s="101">
        <v>0</v>
      </c>
      <c r="K29" s="102" t="e">
        <f>(J29*#REF!)</f>
        <v>#REF!</v>
      </c>
      <c r="L29" s="80"/>
      <c r="N29" s="83"/>
    </row>
    <row r="30" spans="2:14" s="81" customFormat="1" ht="30" customHeight="1">
      <c r="B30" s="343" t="s">
        <v>99</v>
      </c>
      <c r="C30" s="63" t="s">
        <v>65</v>
      </c>
      <c r="D30" s="349" t="s">
        <v>55</v>
      </c>
      <c r="E30" s="188">
        <v>94965</v>
      </c>
      <c r="F30" s="65">
        <v>21.3</v>
      </c>
      <c r="G30" s="66">
        <v>319.17</v>
      </c>
      <c r="H30" s="67">
        <f t="shared" si="6"/>
        <v>407.35</v>
      </c>
      <c r="I30" s="67">
        <f t="shared" si="7"/>
        <v>8676.5499999999993</v>
      </c>
      <c r="J30" s="101">
        <v>0</v>
      </c>
      <c r="K30" s="102" t="e">
        <f>(J30*#REF!)</f>
        <v>#REF!</v>
      </c>
      <c r="L30" s="80"/>
      <c r="N30" s="83"/>
    </row>
    <row r="31" spans="2:14" s="78" customFormat="1" ht="33.75" customHeight="1">
      <c r="B31" s="343" t="s">
        <v>189</v>
      </c>
      <c r="C31" s="63" t="s">
        <v>163</v>
      </c>
      <c r="D31" s="349" t="s">
        <v>55</v>
      </c>
      <c r="E31" s="188" t="s">
        <v>162</v>
      </c>
      <c r="F31" s="65">
        <f>F30</f>
        <v>21.3</v>
      </c>
      <c r="G31" s="66">
        <v>93.36</v>
      </c>
      <c r="H31" s="67">
        <f t="shared" si="6"/>
        <v>119.15</v>
      </c>
      <c r="I31" s="67">
        <f t="shared" si="7"/>
        <v>2537.89</v>
      </c>
      <c r="J31" s="101">
        <v>0</v>
      </c>
      <c r="K31" s="102" t="e">
        <f>(J31*#REF!)</f>
        <v>#REF!</v>
      </c>
      <c r="L31" s="80"/>
      <c r="N31" s="86"/>
    </row>
    <row r="32" spans="2:14" s="78" customFormat="1" ht="54.75" customHeight="1">
      <c r="B32" s="343" t="s">
        <v>201</v>
      </c>
      <c r="C32" s="63" t="s">
        <v>60</v>
      </c>
      <c r="D32" s="349" t="s">
        <v>53</v>
      </c>
      <c r="E32" s="188">
        <v>92422</v>
      </c>
      <c r="F32" s="65">
        <v>201.07</v>
      </c>
      <c r="G32" s="66">
        <v>47.82</v>
      </c>
      <c r="H32" s="67">
        <f t="shared" si="6"/>
        <v>61.03</v>
      </c>
      <c r="I32" s="67">
        <f t="shared" si="7"/>
        <v>12271.3</v>
      </c>
      <c r="J32" s="101">
        <v>0</v>
      </c>
      <c r="K32" s="102" t="e">
        <f>(J32*#REF!)</f>
        <v>#REF!</v>
      </c>
      <c r="L32" s="80"/>
      <c r="N32" s="86"/>
    </row>
    <row r="33" spans="2:14" s="78" customFormat="1" ht="36.75" customHeight="1">
      <c r="B33" s="343" t="s">
        <v>202</v>
      </c>
      <c r="C33" s="63" t="s">
        <v>71</v>
      </c>
      <c r="D33" s="349" t="s">
        <v>66</v>
      </c>
      <c r="E33" s="188">
        <v>96543</v>
      </c>
      <c r="F33" s="65">
        <v>242</v>
      </c>
      <c r="G33" s="66">
        <v>11.25</v>
      </c>
      <c r="H33" s="67">
        <f t="shared" si="6"/>
        <v>14.35</v>
      </c>
      <c r="I33" s="67">
        <f t="shared" si="7"/>
        <v>3472.7</v>
      </c>
      <c r="J33" s="101">
        <v>0</v>
      </c>
      <c r="K33" s="102" t="e">
        <f>(J33*#REF!)</f>
        <v>#REF!</v>
      </c>
      <c r="L33" s="80"/>
      <c r="N33" s="86"/>
    </row>
    <row r="34" spans="2:14" s="78" customFormat="1" ht="35.25" customHeight="1">
      <c r="B34" s="343" t="s">
        <v>203</v>
      </c>
      <c r="C34" s="63" t="s">
        <v>161</v>
      </c>
      <c r="D34" s="349" t="s">
        <v>66</v>
      </c>
      <c r="E34" s="188">
        <v>96544</v>
      </c>
      <c r="F34" s="65">
        <v>93</v>
      </c>
      <c r="G34" s="66">
        <v>9.7899999999999991</v>
      </c>
      <c r="H34" s="67">
        <f t="shared" si="6"/>
        <v>12.49</v>
      </c>
      <c r="I34" s="67">
        <f t="shared" si="7"/>
        <v>1161.57</v>
      </c>
      <c r="J34" s="101">
        <v>0</v>
      </c>
      <c r="K34" s="102" t="e">
        <f>(J34*#REF!)</f>
        <v>#REF!</v>
      </c>
      <c r="L34" s="80"/>
      <c r="N34" s="86"/>
    </row>
    <row r="35" spans="2:14" s="78" customFormat="1" ht="41.25" customHeight="1">
      <c r="B35" s="343" t="s">
        <v>204</v>
      </c>
      <c r="C35" s="214" t="s">
        <v>235</v>
      </c>
      <c r="D35" s="349" t="s">
        <v>66</v>
      </c>
      <c r="E35" s="188">
        <v>96545</v>
      </c>
      <c r="F35" s="65">
        <v>73</v>
      </c>
      <c r="G35" s="66">
        <v>9.4700000000000006</v>
      </c>
      <c r="H35" s="67">
        <f t="shared" si="6"/>
        <v>12.08</v>
      </c>
      <c r="I35" s="67">
        <f t="shared" si="7"/>
        <v>881.84</v>
      </c>
      <c r="J35" s="101">
        <v>0</v>
      </c>
      <c r="K35" s="102" t="e">
        <f>(J35*#REF!)</f>
        <v>#REF!</v>
      </c>
      <c r="L35" s="80"/>
      <c r="N35" s="86"/>
    </row>
    <row r="36" spans="2:14" s="78" customFormat="1" ht="44.25" customHeight="1">
      <c r="B36" s="343" t="s">
        <v>205</v>
      </c>
      <c r="C36" s="63" t="s">
        <v>70</v>
      </c>
      <c r="D36" s="349" t="s">
        <v>66</v>
      </c>
      <c r="E36" s="188">
        <v>96546</v>
      </c>
      <c r="F36" s="65">
        <v>269</v>
      </c>
      <c r="G36" s="66">
        <v>7.74</v>
      </c>
      <c r="H36" s="67">
        <f t="shared" si="6"/>
        <v>9.8699999999999992</v>
      </c>
      <c r="I36" s="67">
        <f t="shared" si="7"/>
        <v>2655.03</v>
      </c>
      <c r="J36" s="101">
        <v>0</v>
      </c>
      <c r="K36" s="102" t="e">
        <f>(J36*#REF!)</f>
        <v>#REF!</v>
      </c>
      <c r="L36" s="80"/>
      <c r="N36" s="86"/>
    </row>
    <row r="37" spans="2:14" s="78" customFormat="1" ht="44.25" customHeight="1">
      <c r="B37" s="343" t="s">
        <v>276</v>
      </c>
      <c r="C37" s="214" t="s">
        <v>278</v>
      </c>
      <c r="D37" s="349" t="s">
        <v>66</v>
      </c>
      <c r="E37" s="188">
        <v>96547</v>
      </c>
      <c r="F37" s="65">
        <v>180</v>
      </c>
      <c r="G37" s="66">
        <v>6.89</v>
      </c>
      <c r="H37" s="67">
        <f t="shared" ref="H37:H38" si="8">TRUNC(G37*(1+$H$13),2)</f>
        <v>8.7899999999999991</v>
      </c>
      <c r="I37" s="67">
        <f t="shared" ref="I37:I38" si="9">TRUNC(H37*F37,2)</f>
        <v>1582.2</v>
      </c>
      <c r="J37" s="101"/>
      <c r="K37" s="102"/>
      <c r="L37" s="80"/>
      <c r="N37" s="86"/>
    </row>
    <row r="38" spans="2:14" s="78" customFormat="1" ht="44.25" customHeight="1">
      <c r="B38" s="343" t="s">
        <v>277</v>
      </c>
      <c r="C38" s="214" t="s">
        <v>279</v>
      </c>
      <c r="D38" s="349" t="s">
        <v>66</v>
      </c>
      <c r="E38" s="188">
        <v>96548</v>
      </c>
      <c r="F38" s="65">
        <v>116</v>
      </c>
      <c r="G38" s="66">
        <v>6.41</v>
      </c>
      <c r="H38" s="67">
        <f t="shared" si="8"/>
        <v>8.18</v>
      </c>
      <c r="I38" s="67">
        <f t="shared" si="9"/>
        <v>948.88</v>
      </c>
      <c r="J38" s="101"/>
      <c r="K38" s="102"/>
      <c r="L38" s="80"/>
      <c r="N38" s="86"/>
    </row>
    <row r="39" spans="2:14" s="1" customFormat="1" ht="18.75" customHeight="1">
      <c r="B39" s="374" t="s">
        <v>6</v>
      </c>
      <c r="C39" s="375"/>
      <c r="D39" s="375"/>
      <c r="E39" s="375"/>
      <c r="F39" s="375"/>
      <c r="G39" s="377">
        <f>(100%)</f>
        <v>1</v>
      </c>
      <c r="H39" s="378"/>
      <c r="I39" s="151">
        <f>SUM(I29:I38)</f>
        <v>34796.239999999991</v>
      </c>
      <c r="J39" s="99" t="e">
        <f>(K39/#REF!)</f>
        <v>#REF!</v>
      </c>
      <c r="K39" s="100" t="e">
        <f>SUM(K30:K36)</f>
        <v>#REF!</v>
      </c>
      <c r="L39" s="58"/>
      <c r="N39" s="6"/>
    </row>
    <row r="40" spans="2:14" s="81" customFormat="1" ht="17.25" customHeight="1">
      <c r="B40" s="150">
        <v>4</v>
      </c>
      <c r="C40" s="17" t="s">
        <v>35</v>
      </c>
      <c r="D40" s="421"/>
      <c r="E40" s="422"/>
      <c r="F40" s="422"/>
      <c r="G40" s="422"/>
      <c r="H40" s="422"/>
      <c r="I40" s="423"/>
      <c r="J40" s="80"/>
      <c r="K40" s="80"/>
      <c r="L40" s="85"/>
      <c r="N40" s="83"/>
    </row>
    <row r="41" spans="2:14" s="78" customFormat="1" ht="33.75" customHeight="1">
      <c r="B41" s="343" t="s">
        <v>100</v>
      </c>
      <c r="C41" s="63" t="s">
        <v>62</v>
      </c>
      <c r="D41" s="349" t="s">
        <v>55</v>
      </c>
      <c r="E41" s="188">
        <v>94965</v>
      </c>
      <c r="F41" s="65">
        <v>16.670000000000002</v>
      </c>
      <c r="G41" s="66">
        <v>319.17</v>
      </c>
      <c r="H41" s="67">
        <f t="shared" ref="H41:H51" si="10">TRUNC(G41*(1+$H$13),2)</f>
        <v>407.35</v>
      </c>
      <c r="I41" s="67">
        <f t="shared" ref="I41:I48" si="11">TRUNC(H41*F41,2)</f>
        <v>6790.52</v>
      </c>
      <c r="J41" s="101">
        <v>0</v>
      </c>
      <c r="K41" s="102" t="e">
        <f>(J41*#REF!)</f>
        <v>#REF!</v>
      </c>
      <c r="L41" s="80"/>
      <c r="N41" s="86"/>
    </row>
    <row r="42" spans="2:14" s="78" customFormat="1" ht="33.75" customHeight="1">
      <c r="B42" s="343" t="s">
        <v>101</v>
      </c>
      <c r="C42" s="63" t="s">
        <v>163</v>
      </c>
      <c r="D42" s="349" t="s">
        <v>55</v>
      </c>
      <c r="E42" s="188" t="s">
        <v>162</v>
      </c>
      <c r="F42" s="65">
        <f>F41</f>
        <v>16.670000000000002</v>
      </c>
      <c r="G42" s="66">
        <v>93.36</v>
      </c>
      <c r="H42" s="67">
        <f t="shared" si="10"/>
        <v>119.15</v>
      </c>
      <c r="I42" s="67">
        <f t="shared" si="11"/>
        <v>1986.23</v>
      </c>
      <c r="J42" s="101">
        <v>0</v>
      </c>
      <c r="K42" s="102" t="e">
        <f>(J42*#REF!)</f>
        <v>#REF!</v>
      </c>
      <c r="L42" s="80"/>
      <c r="N42" s="86"/>
    </row>
    <row r="43" spans="2:14" s="78" customFormat="1" ht="54.75" customHeight="1">
      <c r="B43" s="343" t="s">
        <v>102</v>
      </c>
      <c r="C43" s="63" t="s">
        <v>60</v>
      </c>
      <c r="D43" s="349" t="s">
        <v>53</v>
      </c>
      <c r="E43" s="188">
        <v>92422</v>
      </c>
      <c r="F43" s="65">
        <v>237.04</v>
      </c>
      <c r="G43" s="66">
        <v>47.82</v>
      </c>
      <c r="H43" s="67">
        <f t="shared" si="10"/>
        <v>61.03</v>
      </c>
      <c r="I43" s="67">
        <f t="shared" si="11"/>
        <v>14466.55</v>
      </c>
      <c r="J43" s="101">
        <v>0</v>
      </c>
      <c r="K43" s="102" t="e">
        <f>(J43*#REF!)</f>
        <v>#REF!</v>
      </c>
      <c r="L43" s="80"/>
      <c r="N43" s="86"/>
    </row>
    <row r="44" spans="2:14" s="78" customFormat="1" ht="47.25" customHeight="1">
      <c r="B44" s="343" t="s">
        <v>190</v>
      </c>
      <c r="C44" s="63" t="s">
        <v>67</v>
      </c>
      <c r="D44" s="349" t="s">
        <v>66</v>
      </c>
      <c r="E44" s="188">
        <v>92775</v>
      </c>
      <c r="F44" s="65">
        <f>79+156</f>
        <v>235</v>
      </c>
      <c r="G44" s="66">
        <v>11.31</v>
      </c>
      <c r="H44" s="67">
        <f t="shared" si="10"/>
        <v>14.43</v>
      </c>
      <c r="I44" s="67">
        <f t="shared" si="11"/>
        <v>3391.05</v>
      </c>
      <c r="J44" s="101">
        <v>0</v>
      </c>
      <c r="K44" s="102" t="e">
        <f>(J44*#REF!)</f>
        <v>#REF!</v>
      </c>
      <c r="L44" s="80"/>
      <c r="N44" s="86"/>
    </row>
    <row r="45" spans="2:14" s="78" customFormat="1" ht="48" customHeight="1">
      <c r="B45" s="343" t="s">
        <v>191</v>
      </c>
      <c r="C45" s="214" t="s">
        <v>233</v>
      </c>
      <c r="D45" s="349" t="s">
        <v>66</v>
      </c>
      <c r="E45" s="188">
        <v>92776</v>
      </c>
      <c r="F45" s="65">
        <f>76+5</f>
        <v>81</v>
      </c>
      <c r="G45" s="66">
        <v>9.82</v>
      </c>
      <c r="H45" s="67">
        <f t="shared" si="10"/>
        <v>12.53</v>
      </c>
      <c r="I45" s="67">
        <f t="shared" si="11"/>
        <v>1014.93</v>
      </c>
      <c r="J45" s="101">
        <v>0</v>
      </c>
      <c r="K45" s="102" t="e">
        <f>(J45*#REF!)</f>
        <v>#REF!</v>
      </c>
      <c r="L45" s="80"/>
      <c r="N45" s="86"/>
    </row>
    <row r="46" spans="2:14" s="78" customFormat="1" ht="48" customHeight="1">
      <c r="B46" s="343" t="s">
        <v>192</v>
      </c>
      <c r="C46" s="63" t="s">
        <v>68</v>
      </c>
      <c r="D46" s="349" t="s">
        <v>66</v>
      </c>
      <c r="E46" s="188">
        <v>92777</v>
      </c>
      <c r="F46" s="65">
        <v>136</v>
      </c>
      <c r="G46" s="66">
        <v>9.4600000000000009</v>
      </c>
      <c r="H46" s="67">
        <f t="shared" si="10"/>
        <v>12.07</v>
      </c>
      <c r="I46" s="67">
        <f t="shared" si="11"/>
        <v>1641.52</v>
      </c>
      <c r="J46" s="101"/>
      <c r="K46" s="102"/>
      <c r="L46" s="80"/>
      <c r="N46" s="86"/>
    </row>
    <row r="47" spans="2:14" s="78" customFormat="1" ht="48" customHeight="1">
      <c r="B47" s="343" t="s">
        <v>238</v>
      </c>
      <c r="C47" s="63" t="s">
        <v>69</v>
      </c>
      <c r="D47" s="349" t="s">
        <v>66</v>
      </c>
      <c r="E47" s="188">
        <v>92778</v>
      </c>
      <c r="F47" s="65">
        <f>175+246</f>
        <v>421</v>
      </c>
      <c r="G47" s="66">
        <v>7.68</v>
      </c>
      <c r="H47" s="67">
        <f t="shared" si="10"/>
        <v>9.8000000000000007</v>
      </c>
      <c r="I47" s="67">
        <f t="shared" si="11"/>
        <v>4125.8</v>
      </c>
      <c r="J47" s="101"/>
      <c r="K47" s="102"/>
      <c r="L47" s="80"/>
      <c r="N47" s="86"/>
    </row>
    <row r="48" spans="2:14" s="78" customFormat="1" ht="55.5" customHeight="1">
      <c r="B48" s="343" t="s">
        <v>263</v>
      </c>
      <c r="C48" s="214" t="s">
        <v>234</v>
      </c>
      <c r="D48" s="349" t="s">
        <v>66</v>
      </c>
      <c r="E48" s="188">
        <v>92779</v>
      </c>
      <c r="F48" s="65">
        <f>153+187</f>
        <v>340</v>
      </c>
      <c r="G48" s="66">
        <v>6.79</v>
      </c>
      <c r="H48" s="67">
        <f t="shared" si="10"/>
        <v>8.66</v>
      </c>
      <c r="I48" s="67">
        <f t="shared" si="11"/>
        <v>2944.4</v>
      </c>
      <c r="J48" s="101">
        <v>0</v>
      </c>
      <c r="K48" s="102" t="e">
        <f>(J48*#REF!)</f>
        <v>#REF!</v>
      </c>
      <c r="L48" s="80"/>
      <c r="N48" s="86"/>
    </row>
    <row r="49" spans="2:14" s="78" customFormat="1" ht="55.5" customHeight="1">
      <c r="B49" s="343" t="s">
        <v>264</v>
      </c>
      <c r="C49" s="214" t="s">
        <v>280</v>
      </c>
      <c r="D49" s="349" t="s">
        <v>66</v>
      </c>
      <c r="E49" s="188">
        <v>92780</v>
      </c>
      <c r="F49" s="65">
        <f>121+133</f>
        <v>254</v>
      </c>
      <c r="G49" s="66">
        <v>6.26</v>
      </c>
      <c r="H49" s="67">
        <f t="shared" ref="H49" si="12">TRUNC(G49*(1+$H$13),2)</f>
        <v>7.98</v>
      </c>
      <c r="I49" s="67">
        <f t="shared" ref="I49" si="13">TRUNC(H49*F49,2)</f>
        <v>2026.92</v>
      </c>
      <c r="J49" s="101"/>
      <c r="K49" s="102"/>
      <c r="L49" s="80"/>
      <c r="N49" s="86"/>
    </row>
    <row r="50" spans="2:14" s="78" customFormat="1">
      <c r="B50" s="357"/>
      <c r="C50" s="358" t="s">
        <v>236</v>
      </c>
      <c r="D50" s="359"/>
      <c r="E50" s="359"/>
      <c r="F50" s="359"/>
      <c r="G50" s="359"/>
      <c r="H50" s="359"/>
      <c r="I50" s="360"/>
      <c r="J50" s="101"/>
      <c r="K50" s="102"/>
      <c r="L50" s="80"/>
      <c r="N50" s="86"/>
    </row>
    <row r="51" spans="2:14" s="78" customFormat="1" ht="55.5" customHeight="1">
      <c r="B51" s="342" t="s">
        <v>281</v>
      </c>
      <c r="C51" s="361" t="s">
        <v>237</v>
      </c>
      <c r="D51" s="354" t="s">
        <v>53</v>
      </c>
      <c r="E51" s="189" t="s">
        <v>128</v>
      </c>
      <c r="F51" s="65">
        <v>108.41</v>
      </c>
      <c r="G51" s="66">
        <v>104.92</v>
      </c>
      <c r="H51" s="67">
        <f t="shared" si="10"/>
        <v>133.9</v>
      </c>
      <c r="I51" s="67">
        <f t="shared" ref="I51" si="14">TRUNC(H51*F51,2)</f>
        <v>14516.09</v>
      </c>
      <c r="J51" s="101"/>
      <c r="K51" s="102"/>
      <c r="L51" s="80"/>
      <c r="N51" s="86"/>
    </row>
    <row r="52" spans="2:14" s="78" customFormat="1" ht="55.5" customHeight="1">
      <c r="B52" s="342" t="s">
        <v>282</v>
      </c>
      <c r="C52" s="361" t="s">
        <v>283</v>
      </c>
      <c r="D52" s="354" t="s">
        <v>53</v>
      </c>
      <c r="E52" s="189" t="s">
        <v>631</v>
      </c>
      <c r="F52" s="65">
        <v>197.2</v>
      </c>
      <c r="G52" s="66">
        <v>145.96</v>
      </c>
      <c r="H52" s="67">
        <f t="shared" ref="H52" si="15">TRUNC(G52*(1+$H$13),2)</f>
        <v>186.28</v>
      </c>
      <c r="I52" s="67">
        <f t="shared" ref="I52" si="16">TRUNC(H52*F52,2)</f>
        <v>36734.410000000003</v>
      </c>
      <c r="J52" s="101"/>
      <c r="K52" s="102"/>
      <c r="L52" s="80"/>
      <c r="N52" s="86"/>
    </row>
    <row r="53" spans="2:14" s="1" customFormat="1" ht="12.75" customHeight="1">
      <c r="B53" s="374" t="s">
        <v>6</v>
      </c>
      <c r="C53" s="375"/>
      <c r="D53" s="375"/>
      <c r="E53" s="375"/>
      <c r="F53" s="375"/>
      <c r="G53" s="377">
        <f>(100%)</f>
        <v>1</v>
      </c>
      <c r="H53" s="378"/>
      <c r="I53" s="151">
        <f>SUM(I41:I52)</f>
        <v>89638.42</v>
      </c>
      <c r="J53" s="99" t="e">
        <f>(K53/#REF!)</f>
        <v>#REF!</v>
      </c>
      <c r="K53" s="100" t="e">
        <f>SUM(K41:K48)</f>
        <v>#REF!</v>
      </c>
      <c r="L53" s="58"/>
      <c r="N53" s="6"/>
    </row>
    <row r="54" spans="2:14" s="1" customFormat="1">
      <c r="B54" s="150">
        <v>5</v>
      </c>
      <c r="C54" s="194" t="s">
        <v>37</v>
      </c>
      <c r="D54" s="450"/>
      <c r="E54" s="451"/>
      <c r="F54" s="451"/>
      <c r="G54" s="451"/>
      <c r="H54" s="451"/>
      <c r="I54" s="451"/>
      <c r="J54" s="64"/>
      <c r="K54" s="64"/>
      <c r="L54" s="59"/>
      <c r="N54" s="6"/>
    </row>
    <row r="55" spans="2:14" s="81" customFormat="1" ht="33" customHeight="1">
      <c r="B55" s="343" t="s">
        <v>103</v>
      </c>
      <c r="C55" s="356" t="s">
        <v>94</v>
      </c>
      <c r="D55" s="349" t="s">
        <v>53</v>
      </c>
      <c r="E55" s="362" t="s">
        <v>57</v>
      </c>
      <c r="F55" s="363">
        <v>174.1</v>
      </c>
      <c r="G55" s="66">
        <v>9.1300000000000008</v>
      </c>
      <c r="H55" s="67">
        <f t="shared" ref="H55" si="17">TRUNC(G55*(1+$H$13),2)</f>
        <v>11.65</v>
      </c>
      <c r="I55" s="67">
        <f t="shared" ref="I55" si="18">TRUNC(H55*F55,2)</f>
        <v>2028.26</v>
      </c>
      <c r="J55" s="101">
        <v>0</v>
      </c>
      <c r="K55" s="102" t="e">
        <f>(J55*#REF!)</f>
        <v>#REF!</v>
      </c>
      <c r="L55" s="80"/>
      <c r="N55" s="83"/>
    </row>
    <row r="56" spans="2:14" s="1" customFormat="1" ht="12.75" customHeight="1">
      <c r="B56" s="374" t="s">
        <v>6</v>
      </c>
      <c r="C56" s="375"/>
      <c r="D56" s="375"/>
      <c r="E56" s="375"/>
      <c r="F56" s="375"/>
      <c r="G56" s="377">
        <f>(100%)</f>
        <v>1</v>
      </c>
      <c r="H56" s="378"/>
      <c r="I56" s="151">
        <f>SUM(I55:I55)</f>
        <v>2028.26</v>
      </c>
      <c r="J56" s="99">
        <v>0</v>
      </c>
      <c r="K56" s="100" t="e">
        <f>SUM(K55)</f>
        <v>#REF!</v>
      </c>
      <c r="L56" s="58"/>
      <c r="M56" s="68"/>
      <c r="N56" s="6"/>
    </row>
    <row r="57" spans="2:14" s="88" customFormat="1">
      <c r="B57" s="150">
        <v>6</v>
      </c>
      <c r="C57" s="17" t="s">
        <v>38</v>
      </c>
      <c r="D57" s="450"/>
      <c r="E57" s="451"/>
      <c r="F57" s="451"/>
      <c r="G57" s="451"/>
      <c r="H57" s="451"/>
      <c r="I57" s="451"/>
      <c r="J57" s="80"/>
      <c r="K57" s="80"/>
      <c r="L57" s="87"/>
      <c r="N57" s="89"/>
    </row>
    <row r="58" spans="2:14" s="88" customFormat="1" ht="52.8">
      <c r="B58" s="236" t="s">
        <v>265</v>
      </c>
      <c r="C58" s="361" t="s">
        <v>463</v>
      </c>
      <c r="D58" s="349" t="s">
        <v>53</v>
      </c>
      <c r="E58" s="188">
        <v>87519</v>
      </c>
      <c r="F58" s="65">
        <v>143.6</v>
      </c>
      <c r="G58" s="66">
        <v>57.95</v>
      </c>
      <c r="H58" s="67">
        <f t="shared" ref="H58" si="19">TRUNC(G58*(1+$H$13),2)</f>
        <v>73.959999999999994</v>
      </c>
      <c r="I58" s="67">
        <f t="shared" ref="I58" si="20">TRUNC(H58*F58,2)</f>
        <v>10620.65</v>
      </c>
      <c r="J58" s="80"/>
      <c r="K58" s="80"/>
      <c r="L58" s="87"/>
      <c r="M58"/>
      <c r="N58" s="89"/>
    </row>
    <row r="59" spans="2:14" s="88" customFormat="1" ht="76.5" customHeight="1">
      <c r="B59" s="236" t="s">
        <v>206</v>
      </c>
      <c r="C59" s="356" t="s">
        <v>174</v>
      </c>
      <c r="D59" s="349" t="s">
        <v>53</v>
      </c>
      <c r="E59" s="188">
        <v>87525</v>
      </c>
      <c r="F59" s="65">
        <f>199.81+315.6</f>
        <v>515.41000000000008</v>
      </c>
      <c r="G59" s="66">
        <v>95.96</v>
      </c>
      <c r="H59" s="67">
        <f t="shared" ref="H59:H61" si="21">TRUNC(G59*(1+$H$13),2)</f>
        <v>122.47</v>
      </c>
      <c r="I59" s="67">
        <f t="shared" ref="I59:I61" si="22">TRUNC(H59*F59,2)</f>
        <v>63122.26</v>
      </c>
      <c r="J59" s="101">
        <v>0</v>
      </c>
      <c r="K59" s="102" t="e">
        <f>(J59*#REF!)</f>
        <v>#REF!</v>
      </c>
      <c r="L59" s="80"/>
      <c r="N59" s="89"/>
    </row>
    <row r="60" spans="2:14" s="88" customFormat="1" ht="31.5" customHeight="1">
      <c r="B60" s="236" t="s">
        <v>207</v>
      </c>
      <c r="C60" s="63" t="s">
        <v>144</v>
      </c>
      <c r="D60" s="349" t="s">
        <v>52</v>
      </c>
      <c r="E60" s="188">
        <v>93186</v>
      </c>
      <c r="F60" s="65">
        <v>1.1000000000000001</v>
      </c>
      <c r="G60" s="66">
        <v>36.25</v>
      </c>
      <c r="H60" s="67">
        <f t="shared" si="21"/>
        <v>46.26</v>
      </c>
      <c r="I60" s="67">
        <f t="shared" si="22"/>
        <v>50.88</v>
      </c>
      <c r="J60" s="101">
        <v>0</v>
      </c>
      <c r="K60" s="102" t="e">
        <f>(J60*#REF!)</f>
        <v>#REF!</v>
      </c>
      <c r="L60" s="80"/>
      <c r="N60" s="89"/>
    </row>
    <row r="61" spans="2:14" s="88" customFormat="1" ht="39.75" customHeight="1">
      <c r="B61" s="236" t="s">
        <v>589</v>
      </c>
      <c r="C61" s="214" t="s">
        <v>370</v>
      </c>
      <c r="D61" s="349" t="s">
        <v>52</v>
      </c>
      <c r="E61" s="188">
        <v>93187</v>
      </c>
      <c r="F61" s="65">
        <v>58.7</v>
      </c>
      <c r="G61" s="66">
        <v>41.65</v>
      </c>
      <c r="H61" s="67">
        <f t="shared" si="21"/>
        <v>53.15</v>
      </c>
      <c r="I61" s="67">
        <f t="shared" si="22"/>
        <v>3119.9</v>
      </c>
      <c r="J61" s="101">
        <v>0</v>
      </c>
      <c r="K61" s="102" t="e">
        <f>(J61*#REF!)</f>
        <v>#REF!</v>
      </c>
      <c r="L61" s="80"/>
      <c r="N61" s="89"/>
    </row>
    <row r="62" spans="2:14" s="88" customFormat="1" ht="39.75" customHeight="1">
      <c r="B62" s="236" t="s">
        <v>369</v>
      </c>
      <c r="C62" s="63" t="s">
        <v>164</v>
      </c>
      <c r="D62" s="349" t="s">
        <v>52</v>
      </c>
      <c r="E62" s="188">
        <v>93188</v>
      </c>
      <c r="F62" s="65">
        <v>9.6</v>
      </c>
      <c r="G62" s="66">
        <v>35.19</v>
      </c>
      <c r="H62" s="67">
        <f t="shared" ref="H62:H63" si="23">TRUNC(G62*(1+$H$13),2)</f>
        <v>44.91</v>
      </c>
      <c r="I62" s="67">
        <f t="shared" ref="I62:I63" si="24">TRUNC(H62*F62,2)</f>
        <v>431.13</v>
      </c>
      <c r="J62" s="101"/>
      <c r="K62" s="102"/>
      <c r="L62" s="80"/>
      <c r="N62" s="89"/>
    </row>
    <row r="63" spans="2:14" s="88" customFormat="1" ht="39.75" customHeight="1">
      <c r="B63" s="236" t="s">
        <v>590</v>
      </c>
      <c r="C63" s="214" t="s">
        <v>371</v>
      </c>
      <c r="D63" s="354" t="s">
        <v>52</v>
      </c>
      <c r="E63" s="188">
        <v>93189</v>
      </c>
      <c r="F63" s="65">
        <v>2.9</v>
      </c>
      <c r="G63" s="66">
        <v>42.1</v>
      </c>
      <c r="H63" s="67">
        <f t="shared" si="23"/>
        <v>53.73</v>
      </c>
      <c r="I63" s="67">
        <f t="shared" si="24"/>
        <v>155.81</v>
      </c>
      <c r="J63" s="101"/>
      <c r="K63" s="102"/>
      <c r="L63" s="80"/>
      <c r="N63" s="89"/>
    </row>
    <row r="64" spans="2:14" s="1" customFormat="1" ht="15" customHeight="1">
      <c r="B64" s="374" t="s">
        <v>6</v>
      </c>
      <c r="C64" s="375"/>
      <c r="D64" s="375"/>
      <c r="E64" s="375"/>
      <c r="F64" s="375"/>
      <c r="G64" s="377">
        <f>(100%)</f>
        <v>1</v>
      </c>
      <c r="H64" s="378"/>
      <c r="I64" s="151">
        <f>SUM(I58:I63)</f>
        <v>77500.63</v>
      </c>
      <c r="J64" s="99" t="e">
        <f>(K64/#REF!)</f>
        <v>#REF!</v>
      </c>
      <c r="K64" s="100" t="e">
        <f>SUM(K59:K60)</f>
        <v>#REF!</v>
      </c>
      <c r="L64" s="58"/>
      <c r="N64" s="6"/>
    </row>
    <row r="65" spans="1:14" s="88" customFormat="1" ht="19.5" customHeight="1">
      <c r="B65" s="150">
        <v>7</v>
      </c>
      <c r="C65" s="17" t="s">
        <v>39</v>
      </c>
      <c r="D65" s="383"/>
      <c r="E65" s="381"/>
      <c r="F65" s="381"/>
      <c r="G65" s="381"/>
      <c r="H65" s="381"/>
      <c r="I65" s="382"/>
      <c r="J65" s="80"/>
      <c r="K65" s="80"/>
      <c r="L65" s="87"/>
      <c r="N65" s="89"/>
    </row>
    <row r="66" spans="1:14" s="88" customFormat="1" ht="42.75" customHeight="1">
      <c r="B66" s="343" t="s">
        <v>104</v>
      </c>
      <c r="C66" s="356" t="s">
        <v>58</v>
      </c>
      <c r="D66" s="349" t="s">
        <v>53</v>
      </c>
      <c r="E66" s="188">
        <v>87905</v>
      </c>
      <c r="F66" s="65">
        <f>F59*2</f>
        <v>1030.8200000000002</v>
      </c>
      <c r="G66" s="66">
        <v>5.85</v>
      </c>
      <c r="H66" s="67">
        <f t="shared" ref="H66:H72" si="25">TRUNC(G66*(1+$H$13),2)</f>
        <v>7.46</v>
      </c>
      <c r="I66" s="67">
        <f t="shared" ref="I66:I72" si="26">TRUNC(H66*F66,2)</f>
        <v>7689.91</v>
      </c>
      <c r="J66" s="101">
        <v>0</v>
      </c>
      <c r="K66" s="102" t="e">
        <f>(J66*#REF!)</f>
        <v>#REF!</v>
      </c>
      <c r="L66" s="80"/>
      <c r="N66" s="89"/>
    </row>
    <row r="67" spans="1:14" s="88" customFormat="1" ht="44.25" customHeight="1">
      <c r="B67" s="343" t="s">
        <v>193</v>
      </c>
      <c r="C67" s="361" t="s">
        <v>421</v>
      </c>
      <c r="D67" s="349" t="s">
        <v>53</v>
      </c>
      <c r="E67" s="188">
        <v>87882</v>
      </c>
      <c r="F67" s="65">
        <v>319.29000000000002</v>
      </c>
      <c r="G67" s="66">
        <v>4.1399999999999997</v>
      </c>
      <c r="H67" s="67">
        <f t="shared" si="25"/>
        <v>5.28</v>
      </c>
      <c r="I67" s="67">
        <f t="shared" si="26"/>
        <v>1685.85</v>
      </c>
      <c r="J67" s="101"/>
      <c r="K67" s="102"/>
      <c r="L67" s="80"/>
      <c r="N67" s="89"/>
    </row>
    <row r="68" spans="1:14" s="88" customFormat="1" ht="57.75" customHeight="1">
      <c r="A68" s="175"/>
      <c r="B68" s="343" t="s">
        <v>194</v>
      </c>
      <c r="C68" s="214" t="s">
        <v>584</v>
      </c>
      <c r="D68" s="349" t="s">
        <v>53</v>
      </c>
      <c r="E68" s="188">
        <v>90406</v>
      </c>
      <c r="F68" s="65">
        <v>319.29000000000002</v>
      </c>
      <c r="G68" s="66">
        <v>30.91</v>
      </c>
      <c r="H68" s="67">
        <f t="shared" ref="H68" si="27">TRUNC(G68*(1+$H$13),2)</f>
        <v>39.450000000000003</v>
      </c>
      <c r="I68" s="67">
        <f t="shared" ref="I68" si="28">TRUNC(H68*F68,2)</f>
        <v>12595.99</v>
      </c>
      <c r="J68" s="101">
        <v>0</v>
      </c>
      <c r="K68" s="102" t="e">
        <f>(J68*#REF!)</f>
        <v>#REF!</v>
      </c>
      <c r="L68" s="80"/>
      <c r="N68" s="89"/>
    </row>
    <row r="69" spans="1:14" s="88" customFormat="1" ht="71.25" customHeight="1">
      <c r="A69" s="175"/>
      <c r="B69" s="343" t="s">
        <v>195</v>
      </c>
      <c r="C69" s="63" t="s">
        <v>172</v>
      </c>
      <c r="D69" s="349" t="s">
        <v>53</v>
      </c>
      <c r="E69" s="188">
        <v>87535</v>
      </c>
      <c r="F69" s="65">
        <f>F71+F72</f>
        <v>194.51</v>
      </c>
      <c r="G69" s="66">
        <v>20.239999999999998</v>
      </c>
      <c r="H69" s="67">
        <f t="shared" si="25"/>
        <v>25.83</v>
      </c>
      <c r="I69" s="67">
        <f t="shared" si="26"/>
        <v>5024.1899999999996</v>
      </c>
      <c r="J69" s="101">
        <v>0</v>
      </c>
      <c r="K69" s="102" t="e">
        <f>(J69*#REF!)</f>
        <v>#REF!</v>
      </c>
      <c r="L69" s="80"/>
      <c r="N69" s="89"/>
    </row>
    <row r="70" spans="1:14" s="88" customFormat="1" ht="67.5" customHeight="1">
      <c r="A70" s="175"/>
      <c r="B70" s="343" t="s">
        <v>422</v>
      </c>
      <c r="C70" s="63" t="s">
        <v>171</v>
      </c>
      <c r="D70" s="349" t="s">
        <v>53</v>
      </c>
      <c r="E70" s="188">
        <v>87529</v>
      </c>
      <c r="F70" s="65">
        <f>429.07+99.9</f>
        <v>528.97</v>
      </c>
      <c r="G70" s="66">
        <v>23.62</v>
      </c>
      <c r="H70" s="67">
        <f t="shared" si="25"/>
        <v>30.14</v>
      </c>
      <c r="I70" s="67">
        <f t="shared" si="26"/>
        <v>15943.15</v>
      </c>
      <c r="J70" s="101">
        <v>0</v>
      </c>
      <c r="K70" s="102" t="e">
        <f>(J70*#REF!)</f>
        <v>#REF!</v>
      </c>
      <c r="L70" s="80"/>
      <c r="N70" s="89"/>
    </row>
    <row r="71" spans="1:14" s="88" customFormat="1" ht="61.5" customHeight="1">
      <c r="A71" s="175"/>
      <c r="B71" s="343" t="s">
        <v>591</v>
      </c>
      <c r="C71" s="63" t="s">
        <v>142</v>
      </c>
      <c r="D71" s="190" t="s">
        <v>56</v>
      </c>
      <c r="E71" s="188">
        <v>87273</v>
      </c>
      <c r="F71" s="65">
        <v>115.5</v>
      </c>
      <c r="G71" s="66">
        <v>48.29</v>
      </c>
      <c r="H71" s="67">
        <f t="shared" ref="H71" si="29">TRUNC(G71*(1+$H$13),2)</f>
        <v>61.63</v>
      </c>
      <c r="I71" s="67">
        <f t="shared" ref="I71" si="30">TRUNC(H71*F71,2)</f>
        <v>7118.26</v>
      </c>
      <c r="J71" s="101"/>
      <c r="K71" s="102"/>
      <c r="L71" s="80"/>
      <c r="N71" s="89"/>
    </row>
    <row r="72" spans="1:14" s="88" customFormat="1" ht="58.5" customHeight="1">
      <c r="B72" s="343" t="s">
        <v>592</v>
      </c>
      <c r="C72" s="214" t="s">
        <v>632</v>
      </c>
      <c r="D72" s="190" t="s">
        <v>56</v>
      </c>
      <c r="E72" s="189" t="s">
        <v>633</v>
      </c>
      <c r="F72" s="65">
        <v>79.010000000000005</v>
      </c>
      <c r="G72" s="66">
        <v>105.97</v>
      </c>
      <c r="H72" s="67">
        <f t="shared" si="25"/>
        <v>135.24</v>
      </c>
      <c r="I72" s="67">
        <f t="shared" si="26"/>
        <v>10685.31</v>
      </c>
      <c r="J72" s="101">
        <v>0</v>
      </c>
      <c r="K72" s="102" t="e">
        <f>(J72*#REF!)</f>
        <v>#REF!</v>
      </c>
      <c r="L72" s="80"/>
      <c r="N72" s="89"/>
    </row>
    <row r="73" spans="1:14" s="1" customFormat="1" ht="12.75" customHeight="1">
      <c r="B73" s="374" t="s">
        <v>6</v>
      </c>
      <c r="C73" s="375"/>
      <c r="D73" s="375"/>
      <c r="E73" s="375"/>
      <c r="F73" s="375"/>
      <c r="G73" s="377">
        <f>(100%)</f>
        <v>1</v>
      </c>
      <c r="H73" s="378"/>
      <c r="I73" s="151">
        <f>SUM(I66:I72)</f>
        <v>60742.659999999996</v>
      </c>
      <c r="J73" s="103" t="e">
        <f>(K73/#REF!)</f>
        <v>#REF!</v>
      </c>
      <c r="K73" s="100" t="e">
        <f>SUM(K66:K72)</f>
        <v>#REF!</v>
      </c>
      <c r="L73" s="58"/>
      <c r="N73" s="6"/>
    </row>
    <row r="74" spans="1:14" s="88" customFormat="1">
      <c r="B74" s="150">
        <v>8</v>
      </c>
      <c r="C74" s="191" t="s">
        <v>40</v>
      </c>
      <c r="D74" s="381"/>
      <c r="E74" s="381"/>
      <c r="F74" s="381"/>
      <c r="G74" s="381"/>
      <c r="H74" s="381"/>
      <c r="I74" s="382"/>
      <c r="J74" s="80"/>
      <c r="K74" s="80"/>
      <c r="L74" s="87"/>
      <c r="N74" s="89"/>
    </row>
    <row r="75" spans="1:14" s="198" customFormat="1" ht="46.5" customHeight="1">
      <c r="B75" s="236" t="s">
        <v>105</v>
      </c>
      <c r="C75" s="214" t="s">
        <v>445</v>
      </c>
      <c r="D75" s="237" t="s">
        <v>2</v>
      </c>
      <c r="E75" s="364">
        <v>92612</v>
      </c>
      <c r="F75" s="65">
        <v>15</v>
      </c>
      <c r="G75" s="66">
        <v>833.57</v>
      </c>
      <c r="H75" s="67">
        <f t="shared" ref="H75:H81" si="31">TRUNC(G75*(1+$H$13),2)</f>
        <v>1063.8800000000001</v>
      </c>
      <c r="I75" s="67">
        <f t="shared" ref="I75:I81" si="32">TRUNC(H75*F75,2)</f>
        <v>15958.2</v>
      </c>
      <c r="J75" s="195">
        <v>0</v>
      </c>
      <c r="K75" s="196" t="e">
        <f>(J75*#REF!)</f>
        <v>#REF!</v>
      </c>
      <c r="L75" s="197"/>
      <c r="N75" s="199"/>
    </row>
    <row r="76" spans="1:14" s="198" customFormat="1" ht="49.5" customHeight="1">
      <c r="B76" s="236" t="s">
        <v>106</v>
      </c>
      <c r="C76" s="214" t="s">
        <v>565</v>
      </c>
      <c r="D76" s="190" t="s">
        <v>53</v>
      </c>
      <c r="E76" s="364">
        <v>92580</v>
      </c>
      <c r="F76" s="65">
        <v>513.41999999999996</v>
      </c>
      <c r="G76" s="66">
        <v>29.17</v>
      </c>
      <c r="H76" s="67">
        <f t="shared" si="31"/>
        <v>37.22</v>
      </c>
      <c r="I76" s="67">
        <f t="shared" ref="I76" si="33">TRUNC(H76*F76,2)</f>
        <v>19109.490000000002</v>
      </c>
      <c r="J76" s="195">
        <v>0</v>
      </c>
      <c r="K76" s="196" t="e">
        <f>(J76*#REF!)</f>
        <v>#REF!</v>
      </c>
      <c r="L76" s="197"/>
      <c r="N76" s="199"/>
    </row>
    <row r="77" spans="1:14" s="111" customFormat="1" ht="63.75" customHeight="1">
      <c r="B77" s="236" t="s">
        <v>566</v>
      </c>
      <c r="C77" s="214" t="s">
        <v>444</v>
      </c>
      <c r="D77" s="190" t="s">
        <v>53</v>
      </c>
      <c r="E77" s="364">
        <v>94210</v>
      </c>
      <c r="F77" s="65">
        <v>513.41999999999996</v>
      </c>
      <c r="G77" s="66">
        <v>35.82</v>
      </c>
      <c r="H77" s="67">
        <f t="shared" si="31"/>
        <v>45.71</v>
      </c>
      <c r="I77" s="67">
        <f t="shared" si="32"/>
        <v>23468.42</v>
      </c>
      <c r="J77" s="108">
        <v>0</v>
      </c>
      <c r="K77" s="109" t="e">
        <f>(J77*#REF!)</f>
        <v>#REF!</v>
      </c>
      <c r="L77" s="110"/>
      <c r="N77" s="112"/>
    </row>
    <row r="78" spans="1:14" s="111" customFormat="1" ht="43.5" customHeight="1">
      <c r="B78" s="236" t="s">
        <v>107</v>
      </c>
      <c r="C78" s="214" t="s">
        <v>443</v>
      </c>
      <c r="D78" s="190" t="s">
        <v>52</v>
      </c>
      <c r="E78" s="364">
        <v>75220</v>
      </c>
      <c r="F78" s="65">
        <v>42.8</v>
      </c>
      <c r="G78" s="66">
        <v>43.49</v>
      </c>
      <c r="H78" s="67">
        <f t="shared" si="31"/>
        <v>55.5</v>
      </c>
      <c r="I78" s="67">
        <f t="shared" si="32"/>
        <v>2375.4</v>
      </c>
      <c r="J78" s="108"/>
      <c r="K78" s="109"/>
      <c r="L78" s="110"/>
      <c r="N78" s="112"/>
    </row>
    <row r="79" spans="1:14" s="111" customFormat="1" ht="43.5" customHeight="1">
      <c r="B79" s="236" t="s">
        <v>446</v>
      </c>
      <c r="C79" s="214" t="s">
        <v>449</v>
      </c>
      <c r="D79" s="354" t="s">
        <v>52</v>
      </c>
      <c r="E79" s="188">
        <v>94231</v>
      </c>
      <c r="F79" s="307">
        <v>102.7</v>
      </c>
      <c r="G79" s="66">
        <v>24.84</v>
      </c>
      <c r="H79" s="67">
        <f t="shared" si="31"/>
        <v>31.7</v>
      </c>
      <c r="I79" s="67">
        <f t="shared" si="32"/>
        <v>3255.59</v>
      </c>
      <c r="J79" s="108"/>
      <c r="K79" s="109"/>
      <c r="L79" s="110"/>
      <c r="N79" s="112"/>
    </row>
    <row r="80" spans="1:14" s="111" customFormat="1" ht="43.5" customHeight="1">
      <c r="B80" s="236" t="s">
        <v>447</v>
      </c>
      <c r="C80" s="214" t="s">
        <v>450</v>
      </c>
      <c r="D80" s="354" t="s">
        <v>52</v>
      </c>
      <c r="E80" s="188">
        <v>94231</v>
      </c>
      <c r="F80" s="307">
        <v>52.64</v>
      </c>
      <c r="G80" s="66">
        <v>24.84</v>
      </c>
      <c r="H80" s="67">
        <f t="shared" si="31"/>
        <v>31.7</v>
      </c>
      <c r="I80" s="67">
        <f t="shared" si="32"/>
        <v>1668.68</v>
      </c>
      <c r="J80" s="108"/>
      <c r="K80" s="109"/>
      <c r="L80" s="110"/>
      <c r="N80" s="112"/>
    </row>
    <row r="81" spans="2:14" s="111" customFormat="1" ht="43.5" customHeight="1">
      <c r="B81" s="236" t="s">
        <v>448</v>
      </c>
      <c r="C81" s="214" t="s">
        <v>451</v>
      </c>
      <c r="D81" s="354" t="s">
        <v>52</v>
      </c>
      <c r="E81" s="188">
        <v>94227</v>
      </c>
      <c r="F81" s="307">
        <v>91.3</v>
      </c>
      <c r="G81" s="66">
        <v>34.67</v>
      </c>
      <c r="H81" s="67">
        <f t="shared" si="31"/>
        <v>44.24</v>
      </c>
      <c r="I81" s="67">
        <f t="shared" si="32"/>
        <v>4039.11</v>
      </c>
      <c r="J81" s="108"/>
      <c r="K81" s="109"/>
      <c r="L81" s="110"/>
      <c r="N81" s="112"/>
    </row>
    <row r="82" spans="2:14" s="1" customFormat="1" ht="12.75" customHeight="1">
      <c r="B82" s="374" t="s">
        <v>6</v>
      </c>
      <c r="C82" s="375"/>
      <c r="D82" s="375"/>
      <c r="E82" s="375"/>
      <c r="F82" s="375"/>
      <c r="G82" s="377">
        <f>(100%)</f>
        <v>1</v>
      </c>
      <c r="H82" s="378"/>
      <c r="I82" s="151">
        <f>SUM(I75:I81)</f>
        <v>69874.89</v>
      </c>
      <c r="J82" s="103" t="e">
        <f>(K82/#REF!)</f>
        <v>#REF!</v>
      </c>
      <c r="K82" s="100" t="e">
        <f>SUM(#REF!)</f>
        <v>#REF!</v>
      </c>
      <c r="L82" s="58"/>
      <c r="N82" s="6"/>
    </row>
    <row r="83" spans="2:14" s="1" customFormat="1" ht="21.75" customHeight="1">
      <c r="B83" s="194">
        <v>9</v>
      </c>
      <c r="C83" s="444" t="s">
        <v>375</v>
      </c>
      <c r="D83" s="445"/>
      <c r="E83" s="445"/>
      <c r="F83" s="445"/>
      <c r="G83" s="445"/>
      <c r="H83" s="445"/>
      <c r="I83" s="446"/>
      <c r="J83" s="103"/>
      <c r="K83" s="100"/>
      <c r="L83" s="58"/>
      <c r="N83" s="6"/>
    </row>
    <row r="84" spans="2:14" s="1" customFormat="1" ht="26.4">
      <c r="B84" s="352" t="s">
        <v>266</v>
      </c>
      <c r="C84" s="352" t="s">
        <v>376</v>
      </c>
      <c r="D84" s="237" t="s">
        <v>53</v>
      </c>
      <c r="E84" s="237">
        <v>96111</v>
      </c>
      <c r="F84" s="237">
        <v>199.93</v>
      </c>
      <c r="G84" s="66">
        <v>38.770000000000003</v>
      </c>
      <c r="H84" s="67">
        <f t="shared" ref="H84:H85" si="34">TRUNC(G84*(1+$H$13),2)</f>
        <v>49.48</v>
      </c>
      <c r="I84" s="67">
        <f t="shared" ref="I84:I85" si="35">TRUNC(H84*F84,2)</f>
        <v>9892.5300000000007</v>
      </c>
      <c r="J84" s="103"/>
      <c r="K84" s="100"/>
      <c r="L84" s="58"/>
      <c r="N84" s="6"/>
    </row>
    <row r="85" spans="2:14" s="88" customFormat="1" ht="43.5" customHeight="1">
      <c r="B85" s="352" t="s">
        <v>550</v>
      </c>
      <c r="C85" s="214" t="s">
        <v>549</v>
      </c>
      <c r="D85" s="307" t="s">
        <v>53</v>
      </c>
      <c r="E85" s="188">
        <v>79627</v>
      </c>
      <c r="F85" s="308">
        <v>5.04</v>
      </c>
      <c r="G85" s="308">
        <v>606.48</v>
      </c>
      <c r="H85" s="67">
        <f t="shared" si="34"/>
        <v>774.05</v>
      </c>
      <c r="I85" s="309">
        <f t="shared" si="35"/>
        <v>3901.21</v>
      </c>
      <c r="J85" s="310"/>
      <c r="K85" s="311"/>
      <c r="L85" s="312"/>
      <c r="N85" s="89"/>
    </row>
    <row r="86" spans="2:14" s="1" customFormat="1" ht="12.75" customHeight="1">
      <c r="B86" s="374" t="s">
        <v>6</v>
      </c>
      <c r="C86" s="375"/>
      <c r="D86" s="375"/>
      <c r="E86" s="375"/>
      <c r="F86" s="375"/>
      <c r="G86" s="377">
        <f>(100%)</f>
        <v>1</v>
      </c>
      <c r="H86" s="378"/>
      <c r="I86" s="281">
        <f>SUM(I84:I85)</f>
        <v>13793.740000000002</v>
      </c>
      <c r="J86" s="103"/>
      <c r="K86" s="100"/>
      <c r="L86" s="58"/>
      <c r="N86" s="6"/>
    </row>
    <row r="87" spans="2:14" ht="22.5" customHeight="1">
      <c r="B87" s="150">
        <v>10</v>
      </c>
      <c r="C87" s="191" t="s">
        <v>41</v>
      </c>
      <c r="D87" s="282"/>
      <c r="E87" s="282"/>
      <c r="F87" s="282"/>
      <c r="G87" s="282"/>
      <c r="H87" s="282"/>
      <c r="I87" s="283"/>
      <c r="J87" s="64"/>
      <c r="K87" s="64"/>
      <c r="L87" s="60"/>
    </row>
    <row r="88" spans="2:14" s="88" customFormat="1" ht="66">
      <c r="B88" s="236" t="s">
        <v>108</v>
      </c>
      <c r="C88" s="214" t="s">
        <v>300</v>
      </c>
      <c r="D88" s="237" t="s">
        <v>2</v>
      </c>
      <c r="E88" s="188">
        <v>90842</v>
      </c>
      <c r="F88" s="65">
        <v>4</v>
      </c>
      <c r="G88" s="66">
        <v>676.39</v>
      </c>
      <c r="H88" s="67">
        <f t="shared" ref="H88:H91" si="36">TRUNC(G88*(1+$H$13),2)</f>
        <v>863.27</v>
      </c>
      <c r="I88" s="67">
        <f t="shared" ref="I88:I91" si="37">TRUNC(H88*F88,2)</f>
        <v>3453.08</v>
      </c>
      <c r="J88" s="101"/>
      <c r="K88" s="102"/>
      <c r="L88" s="80"/>
      <c r="N88" s="89"/>
    </row>
    <row r="89" spans="2:14" s="88" customFormat="1" ht="52.8">
      <c r="B89" s="236" t="s">
        <v>109</v>
      </c>
      <c r="C89" s="214" t="s">
        <v>303</v>
      </c>
      <c r="D89" s="237" t="s">
        <v>2</v>
      </c>
      <c r="E89" s="188">
        <v>91334</v>
      </c>
      <c r="F89" s="65">
        <v>4</v>
      </c>
      <c r="G89" s="66">
        <v>766.41</v>
      </c>
      <c r="H89" s="67">
        <f t="shared" si="36"/>
        <v>978.16</v>
      </c>
      <c r="I89" s="67">
        <f t="shared" si="37"/>
        <v>3912.64</v>
      </c>
      <c r="J89" s="101"/>
      <c r="K89" s="102"/>
      <c r="L89" s="80"/>
      <c r="N89" s="89"/>
    </row>
    <row r="90" spans="2:14" s="88" customFormat="1" ht="68.25" customHeight="1">
      <c r="B90" s="236" t="s">
        <v>267</v>
      </c>
      <c r="C90" s="214" t="s">
        <v>301</v>
      </c>
      <c r="D90" s="237" t="s">
        <v>2</v>
      </c>
      <c r="E90" s="188">
        <v>90843</v>
      </c>
      <c r="F90" s="65">
        <v>1</v>
      </c>
      <c r="G90" s="66">
        <v>699.03</v>
      </c>
      <c r="H90" s="67">
        <f t="shared" si="36"/>
        <v>892.17</v>
      </c>
      <c r="I90" s="67">
        <f t="shared" si="37"/>
        <v>892.17</v>
      </c>
      <c r="J90" s="101"/>
      <c r="K90" s="102"/>
      <c r="L90" s="80"/>
      <c r="N90" s="89"/>
    </row>
    <row r="91" spans="2:14" s="88" customFormat="1" ht="66">
      <c r="B91" s="236" t="s">
        <v>381</v>
      </c>
      <c r="C91" s="214" t="s">
        <v>302</v>
      </c>
      <c r="D91" s="237" t="s">
        <v>2</v>
      </c>
      <c r="E91" s="188">
        <v>90843</v>
      </c>
      <c r="F91" s="65">
        <v>1</v>
      </c>
      <c r="G91" s="66">
        <v>699.03</v>
      </c>
      <c r="H91" s="67">
        <f t="shared" si="36"/>
        <v>892.17</v>
      </c>
      <c r="I91" s="67">
        <f t="shared" si="37"/>
        <v>892.17</v>
      </c>
      <c r="J91" s="101"/>
      <c r="K91" s="102"/>
      <c r="L91" s="80"/>
      <c r="N91" s="89"/>
    </row>
    <row r="92" spans="2:14" s="88" customFormat="1" ht="31.5" customHeight="1">
      <c r="B92" s="236" t="s">
        <v>344</v>
      </c>
      <c r="C92" s="214" t="s">
        <v>317</v>
      </c>
      <c r="D92" s="237" t="s">
        <v>2</v>
      </c>
      <c r="E92" s="189" t="s">
        <v>259</v>
      </c>
      <c r="F92" s="65">
        <v>1</v>
      </c>
      <c r="G92" s="66">
        <v>1513.17</v>
      </c>
      <c r="H92" s="67">
        <f t="shared" ref="H92:H99" si="38">TRUNC(G92*(1+$H$13),2)</f>
        <v>1931.25</v>
      </c>
      <c r="I92" s="67">
        <f t="shared" ref="I92:I100" si="39">TRUNC(H92*F92,2)</f>
        <v>1931.25</v>
      </c>
      <c r="J92" s="101"/>
      <c r="K92" s="102"/>
      <c r="L92" s="80"/>
      <c r="N92" s="89"/>
    </row>
    <row r="93" spans="2:14" s="88" customFormat="1" ht="30" customHeight="1">
      <c r="B93" s="236" t="s">
        <v>346</v>
      </c>
      <c r="C93" s="214" t="s">
        <v>293</v>
      </c>
      <c r="D93" s="190" t="s">
        <v>56</v>
      </c>
      <c r="E93" s="189" t="s">
        <v>350</v>
      </c>
      <c r="F93" s="65">
        <v>16</v>
      </c>
      <c r="G93" s="66">
        <v>463.34</v>
      </c>
      <c r="H93" s="67">
        <f t="shared" si="38"/>
        <v>591.36</v>
      </c>
      <c r="I93" s="67">
        <f t="shared" si="39"/>
        <v>9461.76</v>
      </c>
      <c r="J93" s="101"/>
      <c r="K93" s="102"/>
      <c r="L93" s="80"/>
      <c r="N93" s="89"/>
    </row>
    <row r="94" spans="2:14" s="88" customFormat="1" ht="27.75" customHeight="1">
      <c r="B94" s="236" t="s">
        <v>347</v>
      </c>
      <c r="C94" s="214" t="s">
        <v>294</v>
      </c>
      <c r="D94" s="190" t="s">
        <v>56</v>
      </c>
      <c r="E94" s="189" t="s">
        <v>350</v>
      </c>
      <c r="F94" s="65">
        <v>8.8000000000000007</v>
      </c>
      <c r="G94" s="66">
        <v>463.34</v>
      </c>
      <c r="H94" s="67">
        <f t="shared" si="38"/>
        <v>591.36</v>
      </c>
      <c r="I94" s="67">
        <f t="shared" si="39"/>
        <v>5203.96</v>
      </c>
      <c r="J94" s="101"/>
      <c r="K94" s="102"/>
      <c r="L94" s="80"/>
      <c r="N94" s="89"/>
    </row>
    <row r="95" spans="2:14" s="88" customFormat="1" ht="31.5" customHeight="1">
      <c r="B95" s="236" t="s">
        <v>382</v>
      </c>
      <c r="C95" s="214" t="s">
        <v>295</v>
      </c>
      <c r="D95" s="190" t="s">
        <v>56</v>
      </c>
      <c r="E95" s="189" t="s">
        <v>350</v>
      </c>
      <c r="F95" s="65">
        <v>5.44</v>
      </c>
      <c r="G95" s="66">
        <v>463.34</v>
      </c>
      <c r="H95" s="67">
        <f t="shared" si="38"/>
        <v>591.36</v>
      </c>
      <c r="I95" s="67">
        <f t="shared" si="39"/>
        <v>3216.99</v>
      </c>
      <c r="J95" s="101"/>
      <c r="K95" s="102"/>
      <c r="L95" s="80"/>
      <c r="N95" s="89"/>
    </row>
    <row r="96" spans="2:14" s="88" customFormat="1" ht="27" customHeight="1">
      <c r="B96" s="236" t="s">
        <v>383</v>
      </c>
      <c r="C96" s="214" t="s">
        <v>296</v>
      </c>
      <c r="D96" s="190" t="s">
        <v>56</v>
      </c>
      <c r="E96" s="189" t="s">
        <v>350</v>
      </c>
      <c r="F96" s="65">
        <v>0.88</v>
      </c>
      <c r="G96" s="66">
        <v>463.34</v>
      </c>
      <c r="H96" s="67">
        <f t="shared" si="38"/>
        <v>591.36</v>
      </c>
      <c r="I96" s="67">
        <f t="shared" si="39"/>
        <v>520.39</v>
      </c>
      <c r="J96" s="101"/>
      <c r="K96" s="102"/>
      <c r="L96" s="80"/>
      <c r="N96" s="89"/>
    </row>
    <row r="97" spans="2:14" s="88" customFormat="1" ht="27" customHeight="1">
      <c r="B97" s="236" t="s">
        <v>384</v>
      </c>
      <c r="C97" s="214" t="s">
        <v>297</v>
      </c>
      <c r="D97" s="190" t="s">
        <v>56</v>
      </c>
      <c r="E97" s="189" t="s">
        <v>350</v>
      </c>
      <c r="F97" s="65">
        <v>3.16</v>
      </c>
      <c r="G97" s="66">
        <v>463.34</v>
      </c>
      <c r="H97" s="67">
        <f t="shared" si="38"/>
        <v>591.36</v>
      </c>
      <c r="I97" s="67">
        <f t="shared" si="39"/>
        <v>1868.69</v>
      </c>
      <c r="J97" s="101"/>
      <c r="K97" s="102"/>
      <c r="L97" s="80"/>
      <c r="N97" s="89"/>
    </row>
    <row r="98" spans="2:14" s="88" customFormat="1" ht="30" customHeight="1">
      <c r="B98" s="236" t="s">
        <v>385</v>
      </c>
      <c r="C98" s="214" t="s">
        <v>298</v>
      </c>
      <c r="D98" s="190" t="s">
        <v>56</v>
      </c>
      <c r="E98" s="189" t="s">
        <v>350</v>
      </c>
      <c r="F98" s="65">
        <v>2.1</v>
      </c>
      <c r="G98" s="66">
        <v>463.34</v>
      </c>
      <c r="H98" s="67">
        <f t="shared" si="38"/>
        <v>591.36</v>
      </c>
      <c r="I98" s="67">
        <f t="shared" si="39"/>
        <v>1241.8499999999999</v>
      </c>
      <c r="J98" s="101"/>
      <c r="K98" s="102"/>
      <c r="L98" s="80"/>
      <c r="N98" s="89"/>
    </row>
    <row r="99" spans="2:14" s="88" customFormat="1" ht="32.25" customHeight="1">
      <c r="B99" s="236" t="s">
        <v>386</v>
      </c>
      <c r="C99" s="214" t="s">
        <v>299</v>
      </c>
      <c r="D99" s="190" t="s">
        <v>56</v>
      </c>
      <c r="E99" s="189" t="s">
        <v>350</v>
      </c>
      <c r="F99" s="65">
        <v>1</v>
      </c>
      <c r="G99" s="66">
        <v>463.34</v>
      </c>
      <c r="H99" s="67">
        <f t="shared" si="38"/>
        <v>591.36</v>
      </c>
      <c r="I99" s="67">
        <f t="shared" si="39"/>
        <v>591.36</v>
      </c>
      <c r="J99" s="101"/>
      <c r="K99" s="102"/>
      <c r="L99" s="80"/>
      <c r="N99" s="89"/>
    </row>
    <row r="100" spans="2:14" s="111" customFormat="1" ht="32.25" customHeight="1">
      <c r="B100" s="236" t="s">
        <v>564</v>
      </c>
      <c r="C100" s="214" t="s">
        <v>562</v>
      </c>
      <c r="D100" s="237" t="s">
        <v>72</v>
      </c>
      <c r="E100" s="330" t="s">
        <v>563</v>
      </c>
      <c r="F100" s="307">
        <v>2</v>
      </c>
      <c r="G100" s="308">
        <v>90.48</v>
      </c>
      <c r="H100" s="67">
        <f>TRUNC(G100*(1+$H$13),2)</f>
        <v>115.47</v>
      </c>
      <c r="I100" s="67">
        <f t="shared" si="39"/>
        <v>230.94</v>
      </c>
      <c r="J100" s="331">
        <v>0</v>
      </c>
      <c r="K100" s="332" t="e">
        <f>(J100*#REF!)</f>
        <v>#REF!</v>
      </c>
      <c r="L100" s="333"/>
      <c r="N100" s="112"/>
    </row>
    <row r="101" spans="2:14" s="1" customFormat="1" ht="12.75" customHeight="1">
      <c r="B101" s="374" t="s">
        <v>6</v>
      </c>
      <c r="C101" s="375"/>
      <c r="D101" s="375"/>
      <c r="E101" s="375"/>
      <c r="F101" s="375"/>
      <c r="G101" s="377">
        <f>(100%)</f>
        <v>1</v>
      </c>
      <c r="H101" s="378"/>
      <c r="I101" s="151">
        <f>SUM(I88:I100)</f>
        <v>33417.249999999993</v>
      </c>
      <c r="J101" s="99" t="e">
        <f>(K101/#REF!)</f>
        <v>#REF!</v>
      </c>
      <c r="K101" s="100" t="e">
        <f>SUM(#REF!)</f>
        <v>#REF!</v>
      </c>
      <c r="L101" s="58"/>
      <c r="N101" s="6"/>
    </row>
    <row r="102" spans="2:14" s="88" customFormat="1">
      <c r="B102" s="150">
        <v>11</v>
      </c>
      <c r="C102" s="191" t="s">
        <v>42</v>
      </c>
      <c r="D102" s="304"/>
      <c r="E102" s="304"/>
      <c r="F102" s="304"/>
      <c r="G102" s="304"/>
      <c r="H102" s="304"/>
      <c r="I102" s="305"/>
      <c r="J102" s="80"/>
      <c r="K102" s="80"/>
      <c r="L102" s="87"/>
      <c r="N102" s="89"/>
    </row>
    <row r="103" spans="2:14" s="88" customFormat="1" ht="33.75" customHeight="1">
      <c r="B103" s="236" t="s">
        <v>110</v>
      </c>
      <c r="C103" s="63" t="s">
        <v>54</v>
      </c>
      <c r="D103" s="190" t="s">
        <v>55</v>
      </c>
      <c r="E103" s="188">
        <v>83534</v>
      </c>
      <c r="F103" s="65">
        <v>31.15</v>
      </c>
      <c r="G103" s="66">
        <v>464.35</v>
      </c>
      <c r="H103" s="67">
        <f t="shared" ref="H103:H110" si="40">TRUNC(G103*(1+$H$13),2)</f>
        <v>592.64</v>
      </c>
      <c r="I103" s="67">
        <f t="shared" ref="I103:I110" si="41">TRUNC(H103*F103,2)</f>
        <v>18460.73</v>
      </c>
      <c r="J103" s="101">
        <v>0.8</v>
      </c>
      <c r="K103" s="102" t="e">
        <f>(J103*#REF!)</f>
        <v>#REF!</v>
      </c>
      <c r="L103" s="80"/>
      <c r="N103" s="89"/>
    </row>
    <row r="104" spans="2:14" s="88" customFormat="1" ht="33.75" customHeight="1">
      <c r="B104" s="236" t="s">
        <v>143</v>
      </c>
      <c r="C104" s="63" t="s">
        <v>176</v>
      </c>
      <c r="D104" s="190" t="s">
        <v>55</v>
      </c>
      <c r="E104" s="188">
        <v>87298</v>
      </c>
      <c r="F104" s="65">
        <v>15.58</v>
      </c>
      <c r="G104" s="66">
        <v>431.61</v>
      </c>
      <c r="H104" s="67">
        <f t="shared" si="40"/>
        <v>550.86</v>
      </c>
      <c r="I104" s="67">
        <f t="shared" si="41"/>
        <v>8582.39</v>
      </c>
      <c r="J104" s="101">
        <v>0.8</v>
      </c>
      <c r="K104" s="102" t="e">
        <f>(J104*#REF!)</f>
        <v>#REF!</v>
      </c>
      <c r="L104" s="80"/>
      <c r="N104" s="89"/>
    </row>
    <row r="105" spans="2:14" s="88" customFormat="1" ht="33.75" customHeight="1">
      <c r="B105" s="236" t="s">
        <v>196</v>
      </c>
      <c r="C105" s="214" t="s">
        <v>461</v>
      </c>
      <c r="D105" s="237" t="s">
        <v>52</v>
      </c>
      <c r="E105" s="188">
        <v>98689</v>
      </c>
      <c r="F105" s="307">
        <v>10.1</v>
      </c>
      <c r="G105" s="308">
        <v>76.849999999999994</v>
      </c>
      <c r="H105" s="309">
        <f t="shared" ref="H105:H106" si="42">TRUNC(G105*$H$13+G105,2)</f>
        <v>98.08</v>
      </c>
      <c r="I105" s="309">
        <f t="shared" si="41"/>
        <v>990.6</v>
      </c>
      <c r="J105" s="101"/>
      <c r="K105" s="102"/>
      <c r="L105" s="80"/>
      <c r="N105" s="89"/>
    </row>
    <row r="106" spans="2:14" s="88" customFormat="1" ht="35.25" customHeight="1">
      <c r="B106" s="236" t="s">
        <v>197</v>
      </c>
      <c r="C106" s="214" t="s">
        <v>542</v>
      </c>
      <c r="D106" s="237" t="s">
        <v>52</v>
      </c>
      <c r="E106" s="316" t="s">
        <v>639</v>
      </c>
      <c r="F106" s="307">
        <v>9.7949999999999999</v>
      </c>
      <c r="G106" s="308">
        <v>254.88</v>
      </c>
      <c r="H106" s="309">
        <f t="shared" si="42"/>
        <v>325.3</v>
      </c>
      <c r="I106" s="309">
        <f t="shared" si="41"/>
        <v>3186.31</v>
      </c>
      <c r="J106" s="310">
        <v>0</v>
      </c>
      <c r="K106" s="311" t="e">
        <f>(J106*#REF!)</f>
        <v>#REF!</v>
      </c>
      <c r="L106" s="312"/>
      <c r="N106" s="89"/>
    </row>
    <row r="107" spans="2:14" ht="42.75" customHeight="1">
      <c r="B107" s="236" t="s">
        <v>268</v>
      </c>
      <c r="C107" s="63" t="s">
        <v>175</v>
      </c>
      <c r="D107" s="190" t="s">
        <v>56</v>
      </c>
      <c r="E107" s="188">
        <v>87251</v>
      </c>
      <c r="F107" s="65">
        <v>48.24</v>
      </c>
      <c r="G107" s="66">
        <v>28.17</v>
      </c>
      <c r="H107" s="67">
        <f t="shared" si="40"/>
        <v>35.950000000000003</v>
      </c>
      <c r="I107" s="67">
        <f t="shared" si="41"/>
        <v>1734.22</v>
      </c>
      <c r="J107" s="192">
        <v>0</v>
      </c>
      <c r="K107" s="193" t="e">
        <f>(J107*#REF!)</f>
        <v>#REF!</v>
      </c>
      <c r="L107" s="57"/>
    </row>
    <row r="108" spans="2:14" s="88" customFormat="1" ht="37.5" customHeight="1">
      <c r="B108" s="236" t="s">
        <v>374</v>
      </c>
      <c r="C108" s="214" t="s">
        <v>343</v>
      </c>
      <c r="D108" s="190" t="s">
        <v>56</v>
      </c>
      <c r="E108" s="306">
        <v>98673</v>
      </c>
      <c r="F108" s="65">
        <v>194.54</v>
      </c>
      <c r="G108" s="66">
        <v>127.91</v>
      </c>
      <c r="H108" s="67">
        <f t="shared" si="40"/>
        <v>163.25</v>
      </c>
      <c r="I108" s="67">
        <f t="shared" si="41"/>
        <v>31758.65</v>
      </c>
      <c r="J108" s="101"/>
      <c r="K108" s="102"/>
      <c r="L108" s="80"/>
      <c r="M108" s="334"/>
      <c r="N108" s="89"/>
    </row>
    <row r="109" spans="2:14" s="88" customFormat="1" ht="37.5" customHeight="1">
      <c r="B109" s="236" t="s">
        <v>462</v>
      </c>
      <c r="C109" s="214" t="s">
        <v>345</v>
      </c>
      <c r="D109" s="237" t="s">
        <v>52</v>
      </c>
      <c r="E109" s="306">
        <v>72190</v>
      </c>
      <c r="F109" s="65">
        <v>114.8</v>
      </c>
      <c r="G109" s="66">
        <v>28.3</v>
      </c>
      <c r="H109" s="67">
        <f t="shared" si="40"/>
        <v>36.11</v>
      </c>
      <c r="I109" s="67">
        <f t="shared" si="41"/>
        <v>4145.42</v>
      </c>
      <c r="J109" s="101"/>
      <c r="K109" s="102"/>
      <c r="L109" s="80"/>
      <c r="N109" s="89"/>
    </row>
    <row r="110" spans="2:14" s="88" customFormat="1" ht="37.5" customHeight="1">
      <c r="B110" s="236" t="s">
        <v>593</v>
      </c>
      <c r="C110" s="214" t="s">
        <v>551</v>
      </c>
      <c r="D110" s="237" t="s">
        <v>53</v>
      </c>
      <c r="E110" s="306">
        <v>84191</v>
      </c>
      <c r="F110" s="65">
        <v>76.459999999999994</v>
      </c>
      <c r="G110" s="66">
        <v>95.05</v>
      </c>
      <c r="H110" s="67">
        <f t="shared" si="40"/>
        <v>121.31</v>
      </c>
      <c r="I110" s="67">
        <f t="shared" si="41"/>
        <v>9275.36</v>
      </c>
      <c r="J110" s="101"/>
      <c r="K110" s="102"/>
      <c r="L110" s="80"/>
      <c r="N110" s="89"/>
    </row>
    <row r="111" spans="2:14" s="1" customFormat="1" ht="12.75" customHeight="1">
      <c r="B111" s="374" t="s">
        <v>6</v>
      </c>
      <c r="C111" s="375"/>
      <c r="D111" s="375"/>
      <c r="E111" s="375"/>
      <c r="F111" s="375"/>
      <c r="G111" s="377">
        <f>(100%)</f>
        <v>1</v>
      </c>
      <c r="H111" s="378"/>
      <c r="I111" s="151">
        <f>SUM(I103:I110)</f>
        <v>78133.680000000008</v>
      </c>
      <c r="J111" s="99" t="e">
        <f>(K111/#REF!)</f>
        <v>#REF!</v>
      </c>
      <c r="K111" s="100" t="e">
        <f>SUM(#REF!)</f>
        <v>#REF!</v>
      </c>
      <c r="L111" s="58"/>
      <c r="N111" s="6"/>
    </row>
    <row r="112" spans="2:14" s="88" customFormat="1">
      <c r="B112" s="150">
        <v>12</v>
      </c>
      <c r="C112" s="191" t="s">
        <v>43</v>
      </c>
      <c r="D112" s="381"/>
      <c r="E112" s="381"/>
      <c r="F112" s="381"/>
      <c r="G112" s="381"/>
      <c r="H112" s="381"/>
      <c r="I112" s="382"/>
      <c r="J112" s="80"/>
      <c r="K112" s="80"/>
      <c r="L112" s="87"/>
      <c r="N112" s="89"/>
    </row>
    <row r="113" spans="2:14" s="88" customFormat="1">
      <c r="B113" s="150"/>
      <c r="C113" s="191" t="s">
        <v>437</v>
      </c>
      <c r="D113" s="304"/>
      <c r="E113" s="304"/>
      <c r="F113" s="304"/>
      <c r="G113" s="304"/>
      <c r="H113" s="304"/>
      <c r="I113" s="305"/>
      <c r="J113" s="80"/>
      <c r="K113" s="80"/>
      <c r="L113" s="87"/>
      <c r="N113" s="89"/>
    </row>
    <row r="114" spans="2:14" s="88" customFormat="1" ht="33" customHeight="1">
      <c r="B114" s="236" t="s">
        <v>111</v>
      </c>
      <c r="C114" s="361" t="s">
        <v>253</v>
      </c>
      <c r="D114" s="237" t="s">
        <v>53</v>
      </c>
      <c r="E114" s="365">
        <v>88482</v>
      </c>
      <c r="F114" s="365">
        <v>319.29000000000002</v>
      </c>
      <c r="G114" s="365">
        <v>2.13</v>
      </c>
      <c r="H114" s="67">
        <f t="shared" ref="H114:H120" si="43">TRUNC(G114*(1+$H$13),2)</f>
        <v>2.71</v>
      </c>
      <c r="I114" s="67">
        <f t="shared" ref="I114:I120" si="44">TRUNC(H114*F114,2)</f>
        <v>865.27</v>
      </c>
      <c r="J114" s="80"/>
      <c r="K114" s="80"/>
      <c r="L114" s="87"/>
      <c r="N114" s="89"/>
    </row>
    <row r="115" spans="2:14" s="88" customFormat="1" ht="34.5" customHeight="1">
      <c r="B115" s="236" t="s">
        <v>112</v>
      </c>
      <c r="C115" s="63" t="s">
        <v>154</v>
      </c>
      <c r="D115" s="190" t="s">
        <v>56</v>
      </c>
      <c r="E115" s="188">
        <v>88483</v>
      </c>
      <c r="F115" s="65">
        <f>429.07+130.45</f>
        <v>559.52</v>
      </c>
      <c r="G115" s="66">
        <v>1.94</v>
      </c>
      <c r="H115" s="67">
        <f>TRUNC(G115*(1+$H$13),2)</f>
        <v>2.4700000000000002</v>
      </c>
      <c r="I115" s="67">
        <f>TRUNC(H115*F115,2)</f>
        <v>1382.01</v>
      </c>
      <c r="J115" s="80"/>
      <c r="K115" s="80"/>
      <c r="L115" s="87"/>
      <c r="N115" s="89"/>
    </row>
    <row r="116" spans="2:14" s="88" customFormat="1" ht="34.5" customHeight="1">
      <c r="B116" s="236" t="s">
        <v>173</v>
      </c>
      <c r="C116" s="63" t="s">
        <v>372</v>
      </c>
      <c r="D116" s="190" t="s">
        <v>56</v>
      </c>
      <c r="E116" s="188">
        <v>88496</v>
      </c>
      <c r="F116" s="65">
        <f>F114</f>
        <v>319.29000000000002</v>
      </c>
      <c r="G116" s="66">
        <v>18.21</v>
      </c>
      <c r="H116" s="67">
        <f t="shared" ref="H116:H117" si="45">TRUNC(G116*(1+$H$13),2)</f>
        <v>23.24</v>
      </c>
      <c r="I116" s="67">
        <f t="shared" ref="I116:I117" si="46">TRUNC(H116*F116,2)</f>
        <v>7420.29</v>
      </c>
      <c r="J116" s="80"/>
      <c r="K116" s="80"/>
      <c r="L116" s="87"/>
      <c r="N116" s="89"/>
    </row>
    <row r="117" spans="2:14" s="88" customFormat="1" ht="39.75" customHeight="1">
      <c r="B117" s="236" t="s">
        <v>254</v>
      </c>
      <c r="C117" s="214" t="s">
        <v>373</v>
      </c>
      <c r="D117" s="190" t="s">
        <v>56</v>
      </c>
      <c r="E117" s="188">
        <v>88497</v>
      </c>
      <c r="F117" s="65">
        <f>F115</f>
        <v>559.52</v>
      </c>
      <c r="G117" s="66">
        <v>10.039999999999999</v>
      </c>
      <c r="H117" s="67">
        <f t="shared" si="45"/>
        <v>12.81</v>
      </c>
      <c r="I117" s="67">
        <f t="shared" si="46"/>
        <v>7167.45</v>
      </c>
      <c r="J117" s="80"/>
      <c r="K117" s="80"/>
      <c r="L117" s="87"/>
      <c r="N117" s="89"/>
    </row>
    <row r="118" spans="2:14" s="88" customFormat="1" ht="32.25" customHeight="1">
      <c r="B118" s="236" t="s">
        <v>255</v>
      </c>
      <c r="C118" s="361" t="s">
        <v>252</v>
      </c>
      <c r="D118" s="237" t="s">
        <v>53</v>
      </c>
      <c r="E118" s="365">
        <v>88486</v>
      </c>
      <c r="F118" s="365">
        <f>F114</f>
        <v>319.29000000000002</v>
      </c>
      <c r="G118" s="365">
        <v>8.9700000000000006</v>
      </c>
      <c r="H118" s="67">
        <f t="shared" si="43"/>
        <v>11.44</v>
      </c>
      <c r="I118" s="67">
        <f t="shared" si="44"/>
        <v>3652.67</v>
      </c>
      <c r="J118" s="80"/>
      <c r="K118" s="80"/>
      <c r="L118" s="87"/>
      <c r="N118" s="89"/>
    </row>
    <row r="119" spans="2:14" s="88" customFormat="1" ht="37.5" customHeight="1">
      <c r="B119" s="236" t="s">
        <v>269</v>
      </c>
      <c r="C119" s="63" t="s">
        <v>59</v>
      </c>
      <c r="D119" s="190" t="s">
        <v>56</v>
      </c>
      <c r="E119" s="188">
        <v>88487</v>
      </c>
      <c r="F119" s="65">
        <v>429.07</v>
      </c>
      <c r="G119" s="66">
        <v>8.08</v>
      </c>
      <c r="H119" s="67">
        <f t="shared" si="43"/>
        <v>10.31</v>
      </c>
      <c r="I119" s="67">
        <f t="shared" si="44"/>
        <v>4423.71</v>
      </c>
      <c r="J119" s="101">
        <v>0</v>
      </c>
      <c r="K119" s="102" t="e">
        <f>(J119*#REF!)</f>
        <v>#REF!</v>
      </c>
      <c r="L119" s="80"/>
      <c r="N119" s="89"/>
    </row>
    <row r="120" spans="2:14" s="88" customFormat="1" ht="18.75" customHeight="1">
      <c r="B120" s="236" t="s">
        <v>270</v>
      </c>
      <c r="C120" s="366" t="s">
        <v>256</v>
      </c>
      <c r="D120" s="367" t="s">
        <v>56</v>
      </c>
      <c r="E120" s="368">
        <v>79460</v>
      </c>
      <c r="F120" s="369">
        <v>99.9</v>
      </c>
      <c r="G120" s="370">
        <v>36.369999999999997</v>
      </c>
      <c r="H120" s="152">
        <f t="shared" si="43"/>
        <v>46.41</v>
      </c>
      <c r="I120" s="152">
        <f t="shared" si="44"/>
        <v>4636.3500000000004</v>
      </c>
      <c r="J120" s="101">
        <v>0</v>
      </c>
      <c r="K120" s="102" t="e">
        <f>(J120*#REF!)</f>
        <v>#REF!</v>
      </c>
      <c r="L120" s="80"/>
      <c r="N120" s="89"/>
    </row>
    <row r="121" spans="2:14" s="88" customFormat="1" ht="18.75" customHeight="1">
      <c r="B121" s="236" t="s">
        <v>271</v>
      </c>
      <c r="C121" s="371" t="s">
        <v>553</v>
      </c>
      <c r="D121" s="367" t="s">
        <v>56</v>
      </c>
      <c r="E121" s="372" t="s">
        <v>552</v>
      </c>
      <c r="F121" s="369">
        <v>199.93</v>
      </c>
      <c r="G121" s="370">
        <v>16.34</v>
      </c>
      <c r="H121" s="152">
        <f t="shared" ref="H121" si="47">TRUNC(G121*(1+$H$13),2)</f>
        <v>20.85</v>
      </c>
      <c r="I121" s="152">
        <f t="shared" ref="I121" si="48">TRUNC(H121*F121,2)</f>
        <v>4168.54</v>
      </c>
      <c r="J121" s="101">
        <v>0</v>
      </c>
      <c r="K121" s="102" t="e">
        <f>(J121*#REF!)</f>
        <v>#REF!</v>
      </c>
      <c r="L121" s="80"/>
      <c r="N121" s="89"/>
    </row>
    <row r="122" spans="2:14" s="88" customFormat="1">
      <c r="B122" s="373"/>
      <c r="C122" s="444" t="s">
        <v>438</v>
      </c>
      <c r="D122" s="445"/>
      <c r="E122" s="445"/>
      <c r="F122" s="445"/>
      <c r="G122" s="445"/>
      <c r="H122" s="445"/>
      <c r="I122" s="446"/>
      <c r="J122" s="101"/>
      <c r="K122" s="102"/>
      <c r="L122" s="80"/>
      <c r="N122" s="89"/>
    </row>
    <row r="123" spans="2:14" s="88" customFormat="1" ht="35.25" customHeight="1">
      <c r="B123" s="236" t="s">
        <v>272</v>
      </c>
      <c r="C123" s="214" t="s">
        <v>439</v>
      </c>
      <c r="D123" s="237" t="s">
        <v>53</v>
      </c>
      <c r="E123" s="144">
        <v>88415</v>
      </c>
      <c r="F123" s="65">
        <v>675.85</v>
      </c>
      <c r="G123" s="66">
        <v>1.83</v>
      </c>
      <c r="H123" s="152">
        <f t="shared" ref="H123:H124" si="49">TRUNC(G123*(1+$H$13),2)</f>
        <v>2.33</v>
      </c>
      <c r="I123" s="152">
        <f t="shared" ref="I123:I124" si="50">TRUNC(H123*F123,2)</f>
        <v>1574.73</v>
      </c>
      <c r="J123" s="101"/>
      <c r="K123" s="102"/>
      <c r="L123" s="80"/>
      <c r="N123" s="89"/>
    </row>
    <row r="124" spans="2:14" s="88" customFormat="1" ht="30" customHeight="1">
      <c r="B124" s="236" t="s">
        <v>273</v>
      </c>
      <c r="C124" s="214" t="s">
        <v>440</v>
      </c>
      <c r="D124" s="237" t="s">
        <v>53</v>
      </c>
      <c r="E124" s="144">
        <v>96130</v>
      </c>
      <c r="F124" s="65">
        <v>321.12</v>
      </c>
      <c r="G124" s="66">
        <v>12.97</v>
      </c>
      <c r="H124" s="152">
        <f t="shared" si="49"/>
        <v>16.55</v>
      </c>
      <c r="I124" s="152">
        <f t="shared" si="50"/>
        <v>5314.53</v>
      </c>
      <c r="J124" s="101"/>
      <c r="K124" s="102"/>
      <c r="L124" s="80"/>
      <c r="N124" s="89"/>
    </row>
    <row r="125" spans="2:14" s="88" customFormat="1" ht="28.5" customHeight="1">
      <c r="B125" s="236" t="s">
        <v>554</v>
      </c>
      <c r="C125" s="214" t="s">
        <v>441</v>
      </c>
      <c r="D125" s="237" t="s">
        <v>53</v>
      </c>
      <c r="E125" s="144">
        <v>95626</v>
      </c>
      <c r="F125" s="65">
        <v>675.85</v>
      </c>
      <c r="G125" s="66">
        <v>10.81</v>
      </c>
      <c r="H125" s="152">
        <f t="shared" ref="H125" si="51">TRUNC(G125*(1+$H$13),2)</f>
        <v>13.79</v>
      </c>
      <c r="I125" s="152">
        <f t="shared" ref="I125" si="52">TRUNC(H125*F125,2)</f>
        <v>9319.9699999999993</v>
      </c>
      <c r="J125" s="101"/>
      <c r="K125" s="102"/>
      <c r="L125" s="80"/>
      <c r="N125" s="89"/>
    </row>
    <row r="126" spans="2:14" s="1" customFormat="1" ht="12.75" customHeight="1">
      <c r="B126" s="374" t="s">
        <v>6</v>
      </c>
      <c r="C126" s="375"/>
      <c r="D126" s="375"/>
      <c r="E126" s="375"/>
      <c r="F126" s="375"/>
      <c r="G126" s="377">
        <f>(100%)</f>
        <v>1</v>
      </c>
      <c r="H126" s="378"/>
      <c r="I126" s="151">
        <f>SUM(I114:I125)</f>
        <v>49925.520000000004</v>
      </c>
      <c r="J126" s="99" t="e">
        <f>(K126/#REF!)</f>
        <v>#REF!</v>
      </c>
      <c r="K126" s="100" t="e">
        <f>SUM(K119:K119)</f>
        <v>#REF!</v>
      </c>
      <c r="L126" s="58"/>
      <c r="M126" s="68"/>
      <c r="N126" s="6"/>
    </row>
    <row r="127" spans="2:14" s="88" customFormat="1" ht="19.5" customHeight="1">
      <c r="B127" s="150">
        <v>13</v>
      </c>
      <c r="C127" s="17" t="s">
        <v>45</v>
      </c>
      <c r="D127" s="383"/>
      <c r="E127" s="381"/>
      <c r="F127" s="381"/>
      <c r="G127" s="381"/>
      <c r="H127" s="381"/>
      <c r="I127" s="382"/>
      <c r="J127" s="80"/>
      <c r="K127" s="80"/>
      <c r="L127" s="87"/>
      <c r="N127" s="89"/>
    </row>
    <row r="128" spans="2:14" s="88" customFormat="1" ht="20.25" customHeight="1">
      <c r="B128" s="379" t="s">
        <v>147</v>
      </c>
      <c r="C128" s="380"/>
      <c r="D128" s="145"/>
      <c r="E128" s="146"/>
      <c r="F128" s="147"/>
      <c r="G128" s="148"/>
      <c r="H128" s="149"/>
      <c r="I128" s="152"/>
      <c r="J128" s="101">
        <v>0</v>
      </c>
      <c r="K128" s="102" t="e">
        <f>(J128*#REF!)</f>
        <v>#REF!</v>
      </c>
      <c r="L128" s="80"/>
      <c r="N128" s="89"/>
    </row>
    <row r="129" spans="2:14" s="139" customFormat="1" ht="39" customHeight="1">
      <c r="B129" s="236" t="s">
        <v>152</v>
      </c>
      <c r="C129" s="63" t="s">
        <v>135</v>
      </c>
      <c r="D129" s="65" t="s">
        <v>52</v>
      </c>
      <c r="E129" s="144">
        <v>89356</v>
      </c>
      <c r="F129" s="66">
        <v>53.91</v>
      </c>
      <c r="G129" s="66">
        <v>14.8</v>
      </c>
      <c r="H129" s="67">
        <f t="shared" ref="H129:H185" si="53">TRUNC(G129*(1+$H$13),2)</f>
        <v>18.88</v>
      </c>
      <c r="I129" s="67">
        <f t="shared" ref="I129:I159" si="54">TRUNC(H129*F129,2)</f>
        <v>1017.82</v>
      </c>
      <c r="J129" s="101">
        <v>0</v>
      </c>
      <c r="K129" s="102" t="e">
        <f>(J129*#REF!)</f>
        <v>#REF!</v>
      </c>
      <c r="L129" s="80"/>
    </row>
    <row r="130" spans="2:14" s="88" customFormat="1" ht="39" customHeight="1">
      <c r="B130" s="236" t="s">
        <v>153</v>
      </c>
      <c r="C130" s="63" t="s">
        <v>136</v>
      </c>
      <c r="D130" s="65" t="s">
        <v>52</v>
      </c>
      <c r="E130" s="188">
        <v>89449</v>
      </c>
      <c r="F130" s="66">
        <v>33.68</v>
      </c>
      <c r="G130" s="66">
        <v>11.8</v>
      </c>
      <c r="H130" s="67">
        <f t="shared" si="53"/>
        <v>15.06</v>
      </c>
      <c r="I130" s="67">
        <f t="shared" si="54"/>
        <v>507.22</v>
      </c>
      <c r="J130" s="101">
        <v>0</v>
      </c>
      <c r="K130" s="102" t="e">
        <f>(J130*#REF!)</f>
        <v>#REF!</v>
      </c>
      <c r="L130" s="80"/>
      <c r="N130" s="89"/>
    </row>
    <row r="131" spans="2:14" s="88" customFormat="1" ht="39" customHeight="1">
      <c r="B131" s="236" t="s">
        <v>198</v>
      </c>
      <c r="C131" s="214" t="s">
        <v>480</v>
      </c>
      <c r="D131" s="65" t="s">
        <v>52</v>
      </c>
      <c r="E131" s="188">
        <v>89451</v>
      </c>
      <c r="F131" s="66">
        <v>111.68</v>
      </c>
      <c r="G131" s="66">
        <v>25.13</v>
      </c>
      <c r="H131" s="67">
        <f t="shared" ref="H131" si="55">TRUNC(G131*(1+$H$13),2)</f>
        <v>32.07</v>
      </c>
      <c r="I131" s="67">
        <f t="shared" ref="I131" si="56">TRUNC(H131*F131,2)</f>
        <v>3581.57</v>
      </c>
      <c r="J131" s="101">
        <v>0</v>
      </c>
      <c r="K131" s="102" t="e">
        <f>(J131*#REF!)</f>
        <v>#REF!</v>
      </c>
      <c r="L131" s="80"/>
      <c r="N131" s="89"/>
    </row>
    <row r="132" spans="2:14" s="88" customFormat="1" ht="37.5" customHeight="1">
      <c r="B132" s="236" t="s">
        <v>208</v>
      </c>
      <c r="C132" s="214" t="s">
        <v>137</v>
      </c>
      <c r="D132" s="65" t="s">
        <v>72</v>
      </c>
      <c r="E132" s="188">
        <v>89362</v>
      </c>
      <c r="F132" s="66">
        <v>33</v>
      </c>
      <c r="G132" s="66">
        <v>6.18</v>
      </c>
      <c r="H132" s="67">
        <f t="shared" si="53"/>
        <v>7.88</v>
      </c>
      <c r="I132" s="67">
        <f t="shared" si="54"/>
        <v>260.04000000000002</v>
      </c>
      <c r="J132" s="101">
        <v>0</v>
      </c>
      <c r="K132" s="102" t="e">
        <f>(J132*#REF!)</f>
        <v>#REF!</v>
      </c>
      <c r="L132" s="80"/>
      <c r="N132" s="89"/>
    </row>
    <row r="133" spans="2:14" s="88" customFormat="1" ht="43.5" customHeight="1">
      <c r="B133" s="236" t="s">
        <v>209</v>
      </c>
      <c r="C133" s="63" t="s">
        <v>138</v>
      </c>
      <c r="D133" s="65" t="s">
        <v>72</v>
      </c>
      <c r="E133" s="188">
        <v>89501</v>
      </c>
      <c r="F133" s="66">
        <v>7</v>
      </c>
      <c r="G133" s="66">
        <v>9.5500000000000007</v>
      </c>
      <c r="H133" s="67">
        <f t="shared" si="53"/>
        <v>12.18</v>
      </c>
      <c r="I133" s="67">
        <f t="shared" si="54"/>
        <v>85.26</v>
      </c>
      <c r="J133" s="101">
        <v>0</v>
      </c>
      <c r="K133" s="102" t="e">
        <f>(J133*#REF!)</f>
        <v>#REF!</v>
      </c>
      <c r="L133" s="80"/>
      <c r="N133" s="89"/>
    </row>
    <row r="134" spans="2:14" s="88" customFormat="1" ht="43.5" customHeight="1">
      <c r="B134" s="236" t="s">
        <v>210</v>
      </c>
      <c r="C134" s="214" t="s">
        <v>481</v>
      </c>
      <c r="D134" s="65" t="s">
        <v>72</v>
      </c>
      <c r="E134" s="188">
        <v>89513</v>
      </c>
      <c r="F134" s="66">
        <v>11</v>
      </c>
      <c r="G134" s="66">
        <v>69.489999999999995</v>
      </c>
      <c r="H134" s="67">
        <f t="shared" ref="H134" si="57">TRUNC(G134*(1+$H$13),2)</f>
        <v>88.69</v>
      </c>
      <c r="I134" s="67">
        <f t="shared" ref="I134" si="58">TRUNC(H134*F134,2)</f>
        <v>975.59</v>
      </c>
      <c r="J134" s="101">
        <v>0</v>
      </c>
      <c r="K134" s="102" t="e">
        <f>(J134*#REF!)</f>
        <v>#REF!</v>
      </c>
      <c r="L134" s="80"/>
      <c r="N134" s="89"/>
    </row>
    <row r="135" spans="2:14" s="15" customFormat="1" ht="45" customHeight="1">
      <c r="B135" s="236" t="s">
        <v>211</v>
      </c>
      <c r="C135" s="63" t="s">
        <v>139</v>
      </c>
      <c r="D135" s="65" t="s">
        <v>72</v>
      </c>
      <c r="E135" s="306">
        <v>90373</v>
      </c>
      <c r="F135" s="66">
        <v>17</v>
      </c>
      <c r="G135" s="66">
        <v>10.1</v>
      </c>
      <c r="H135" s="67">
        <f t="shared" si="53"/>
        <v>12.89</v>
      </c>
      <c r="I135" s="67">
        <f t="shared" si="54"/>
        <v>219.13</v>
      </c>
      <c r="J135" s="104"/>
      <c r="K135" s="105"/>
      <c r="L135" s="70"/>
      <c r="N135" s="16"/>
    </row>
    <row r="136" spans="2:14" s="15" customFormat="1" ht="37.5" customHeight="1">
      <c r="B136" s="236" t="s">
        <v>212</v>
      </c>
      <c r="C136" s="63" t="s">
        <v>140</v>
      </c>
      <c r="D136" s="65" t="s">
        <v>72</v>
      </c>
      <c r="E136" s="306">
        <v>89395</v>
      </c>
      <c r="F136" s="66">
        <v>4</v>
      </c>
      <c r="G136" s="66">
        <v>8.61</v>
      </c>
      <c r="H136" s="67">
        <f t="shared" si="53"/>
        <v>10.98</v>
      </c>
      <c r="I136" s="67">
        <f t="shared" si="54"/>
        <v>43.92</v>
      </c>
      <c r="J136" s="104"/>
      <c r="K136" s="105"/>
      <c r="L136" s="70"/>
      <c r="N136" s="16"/>
    </row>
    <row r="137" spans="2:14" s="15" customFormat="1" ht="37.5" customHeight="1">
      <c r="B137" s="236" t="s">
        <v>213</v>
      </c>
      <c r="C137" s="214" t="s">
        <v>482</v>
      </c>
      <c r="D137" s="65" t="s">
        <v>72</v>
      </c>
      <c r="E137" s="306">
        <v>89625</v>
      </c>
      <c r="F137" s="66">
        <v>3</v>
      </c>
      <c r="G137" s="66">
        <v>14.66</v>
      </c>
      <c r="H137" s="67">
        <f t="shared" ref="H137" si="59">TRUNC(G137*(1+$H$13),2)</f>
        <v>18.71</v>
      </c>
      <c r="I137" s="67">
        <f t="shared" ref="I137" si="60">TRUNC(H137*F137,2)</f>
        <v>56.13</v>
      </c>
      <c r="J137" s="104"/>
      <c r="K137" s="105"/>
      <c r="L137" s="70"/>
      <c r="N137" s="16"/>
    </row>
    <row r="138" spans="2:14" s="15" customFormat="1" ht="37.5" customHeight="1">
      <c r="B138" s="236" t="s">
        <v>214</v>
      </c>
      <c r="C138" s="214" t="s">
        <v>483</v>
      </c>
      <c r="D138" s="65" t="s">
        <v>72</v>
      </c>
      <c r="E138" s="306">
        <v>89629</v>
      </c>
      <c r="F138" s="66">
        <v>6</v>
      </c>
      <c r="G138" s="66">
        <v>52.77</v>
      </c>
      <c r="H138" s="67">
        <f t="shared" ref="H138" si="61">TRUNC(G138*(1+$H$13),2)</f>
        <v>67.349999999999994</v>
      </c>
      <c r="I138" s="67">
        <f t="shared" ref="I138" si="62">TRUNC(H138*F138,2)</f>
        <v>404.1</v>
      </c>
      <c r="J138" s="104"/>
      <c r="K138" s="105"/>
      <c r="L138" s="70"/>
      <c r="N138" s="16"/>
    </row>
    <row r="139" spans="2:14" s="15" customFormat="1" ht="41.25" customHeight="1">
      <c r="B139" s="236" t="s">
        <v>215</v>
      </c>
      <c r="C139" s="63" t="s">
        <v>141</v>
      </c>
      <c r="D139" s="65" t="s">
        <v>72</v>
      </c>
      <c r="E139" s="306">
        <v>89627</v>
      </c>
      <c r="F139" s="66">
        <v>7</v>
      </c>
      <c r="G139" s="66">
        <v>14.43</v>
      </c>
      <c r="H139" s="67">
        <f t="shared" si="53"/>
        <v>18.41</v>
      </c>
      <c r="I139" s="67">
        <f t="shared" si="54"/>
        <v>128.87</v>
      </c>
      <c r="J139" s="104"/>
      <c r="K139" s="105"/>
      <c r="L139" s="70"/>
      <c r="N139" s="16"/>
    </row>
    <row r="140" spans="2:14" s="15" customFormat="1" ht="41.25" customHeight="1">
      <c r="B140" s="236" t="s">
        <v>216</v>
      </c>
      <c r="C140" s="214" t="s">
        <v>484</v>
      </c>
      <c r="D140" s="65" t="s">
        <v>72</v>
      </c>
      <c r="E140" s="306">
        <v>89630</v>
      </c>
      <c r="F140" s="66">
        <v>5</v>
      </c>
      <c r="G140" s="66">
        <v>45.55</v>
      </c>
      <c r="H140" s="67">
        <f t="shared" ref="H140:H142" si="63">TRUNC(G140*(1+$H$13),2)</f>
        <v>58.13</v>
      </c>
      <c r="I140" s="67">
        <f t="shared" ref="I140:I142" si="64">TRUNC(H140*F140,2)</f>
        <v>290.64999999999998</v>
      </c>
      <c r="J140" s="104"/>
      <c r="K140" s="105"/>
      <c r="L140" s="70"/>
      <c r="N140" s="16"/>
    </row>
    <row r="141" spans="2:14" s="15" customFormat="1" ht="53.25" customHeight="1">
      <c r="B141" s="236" t="s">
        <v>217</v>
      </c>
      <c r="C141" s="214" t="s">
        <v>491</v>
      </c>
      <c r="D141" s="65" t="s">
        <v>72</v>
      </c>
      <c r="E141" s="306">
        <v>89618</v>
      </c>
      <c r="F141" s="66">
        <v>7</v>
      </c>
      <c r="G141" s="66">
        <v>11.12</v>
      </c>
      <c r="H141" s="67">
        <f t="shared" ref="H141" si="65">TRUNC(G141*(1+$H$13),2)</f>
        <v>14.19</v>
      </c>
      <c r="I141" s="67">
        <f t="shared" ref="I141" si="66">TRUNC(H141*F141,2)</f>
        <v>99.33</v>
      </c>
      <c r="J141" s="104"/>
      <c r="K141" s="105"/>
      <c r="L141" s="70"/>
      <c r="N141" s="16"/>
    </row>
    <row r="142" spans="2:14" s="15" customFormat="1" ht="53.25" customHeight="1">
      <c r="B142" s="236" t="s">
        <v>218</v>
      </c>
      <c r="C142" s="214" t="s">
        <v>485</v>
      </c>
      <c r="D142" s="65" t="s">
        <v>72</v>
      </c>
      <c r="E142" s="306">
        <v>89575</v>
      </c>
      <c r="F142" s="66">
        <v>1</v>
      </c>
      <c r="G142" s="66">
        <v>7.62</v>
      </c>
      <c r="H142" s="67">
        <f t="shared" si="63"/>
        <v>9.7200000000000006</v>
      </c>
      <c r="I142" s="67">
        <f t="shared" si="64"/>
        <v>9.7200000000000006</v>
      </c>
      <c r="J142" s="104"/>
      <c r="K142" s="105"/>
      <c r="L142" s="70"/>
      <c r="N142" s="16"/>
    </row>
    <row r="143" spans="2:14" s="15" customFormat="1" ht="53.25" customHeight="1">
      <c r="B143" s="236" t="s">
        <v>219</v>
      </c>
      <c r="C143" s="214" t="s">
        <v>158</v>
      </c>
      <c r="D143" s="65" t="s">
        <v>72</v>
      </c>
      <c r="E143" s="306">
        <v>89385</v>
      </c>
      <c r="F143" s="66">
        <v>5</v>
      </c>
      <c r="G143" s="66">
        <v>5.09</v>
      </c>
      <c r="H143" s="67">
        <f t="shared" si="53"/>
        <v>6.49</v>
      </c>
      <c r="I143" s="67">
        <f t="shared" si="54"/>
        <v>32.450000000000003</v>
      </c>
      <c r="J143" s="104"/>
      <c r="K143" s="105"/>
      <c r="L143" s="70"/>
      <c r="N143" s="16"/>
    </row>
    <row r="144" spans="2:14" s="88" customFormat="1" ht="55.5" customHeight="1">
      <c r="B144" s="236" t="s">
        <v>220</v>
      </c>
      <c r="C144" s="63" t="s">
        <v>149</v>
      </c>
      <c r="D144" s="190" t="s">
        <v>72</v>
      </c>
      <c r="E144" s="306">
        <v>89383</v>
      </c>
      <c r="F144" s="65">
        <v>17</v>
      </c>
      <c r="G144" s="66">
        <v>4.84</v>
      </c>
      <c r="H144" s="67">
        <f t="shared" si="53"/>
        <v>6.17</v>
      </c>
      <c r="I144" s="67">
        <f t="shared" si="54"/>
        <v>104.89</v>
      </c>
      <c r="J144" s="101">
        <v>0</v>
      </c>
      <c r="K144" s="102" t="e">
        <f>(J144*#REF!)</f>
        <v>#REF!</v>
      </c>
      <c r="L144" s="80"/>
      <c r="N144" s="89"/>
    </row>
    <row r="145" spans="2:14" s="88" customFormat="1" ht="55.5" customHeight="1">
      <c r="B145" s="236" t="s">
        <v>221</v>
      </c>
      <c r="C145" s="214" t="s">
        <v>149</v>
      </c>
      <c r="D145" s="190" t="s">
        <v>72</v>
      </c>
      <c r="E145" s="306">
        <v>89383</v>
      </c>
      <c r="F145" s="65">
        <v>17</v>
      </c>
      <c r="G145" s="66">
        <v>4.84</v>
      </c>
      <c r="H145" s="67">
        <f t="shared" ref="H145" si="67">TRUNC(G145*(1+$H$13),2)</f>
        <v>6.17</v>
      </c>
      <c r="I145" s="67">
        <f t="shared" ref="I145" si="68">TRUNC(H145*F145,2)</f>
        <v>104.89</v>
      </c>
      <c r="J145" s="101">
        <v>0</v>
      </c>
      <c r="K145" s="102" t="e">
        <f>(J145*#REF!)</f>
        <v>#REF!</v>
      </c>
      <c r="L145" s="80"/>
      <c r="N145" s="89"/>
    </row>
    <row r="146" spans="2:14" s="88" customFormat="1" ht="52.5" customHeight="1">
      <c r="B146" s="236" t="s">
        <v>222</v>
      </c>
      <c r="C146" s="214" t="s">
        <v>487</v>
      </c>
      <c r="D146" s="190" t="s">
        <v>72</v>
      </c>
      <c r="E146" s="306">
        <v>89596</v>
      </c>
      <c r="F146" s="65">
        <v>11</v>
      </c>
      <c r="G146" s="66">
        <v>8</v>
      </c>
      <c r="H146" s="67">
        <f t="shared" si="53"/>
        <v>10.210000000000001</v>
      </c>
      <c r="I146" s="67">
        <f t="shared" si="54"/>
        <v>112.31</v>
      </c>
      <c r="J146" s="101">
        <v>0</v>
      </c>
      <c r="K146" s="102" t="e">
        <f>(J146*#REF!)</f>
        <v>#REF!</v>
      </c>
      <c r="L146" s="80"/>
      <c r="N146" s="89"/>
    </row>
    <row r="147" spans="2:14" s="88" customFormat="1" ht="53.25" customHeight="1">
      <c r="B147" s="236" t="s">
        <v>223</v>
      </c>
      <c r="C147" s="214" t="s">
        <v>486</v>
      </c>
      <c r="D147" s="190" t="s">
        <v>72</v>
      </c>
      <c r="E147" s="306">
        <v>89613</v>
      </c>
      <c r="F147" s="65">
        <v>2</v>
      </c>
      <c r="G147" s="66">
        <v>24.21</v>
      </c>
      <c r="H147" s="67">
        <f t="shared" ref="H147:H150" si="69">TRUNC(G147*(1+$H$13),2)</f>
        <v>30.89</v>
      </c>
      <c r="I147" s="67">
        <f t="shared" ref="I147:I150" si="70">TRUNC(H147*F147,2)</f>
        <v>61.78</v>
      </c>
      <c r="J147" s="101">
        <v>0</v>
      </c>
      <c r="K147" s="102" t="e">
        <f>(J147*#REF!)</f>
        <v>#REF!</v>
      </c>
      <c r="L147" s="80"/>
      <c r="N147" s="89"/>
    </row>
    <row r="148" spans="2:14" s="88" customFormat="1" ht="43.5" customHeight="1">
      <c r="B148" s="236" t="s">
        <v>224</v>
      </c>
      <c r="C148" s="214" t="s">
        <v>488</v>
      </c>
      <c r="D148" s="190" t="s">
        <v>72</v>
      </c>
      <c r="E148" s="306">
        <v>89579</v>
      </c>
      <c r="F148" s="65">
        <v>6</v>
      </c>
      <c r="G148" s="66">
        <v>7.52</v>
      </c>
      <c r="H148" s="67">
        <f t="shared" si="69"/>
        <v>9.59</v>
      </c>
      <c r="I148" s="67">
        <f t="shared" si="70"/>
        <v>57.54</v>
      </c>
      <c r="J148" s="101">
        <v>0</v>
      </c>
      <c r="K148" s="102" t="e">
        <f>(J148*#REF!)</f>
        <v>#REF!</v>
      </c>
      <c r="L148" s="80"/>
      <c r="N148" s="89"/>
    </row>
    <row r="149" spans="2:14" s="88" customFormat="1" ht="42.75" customHeight="1">
      <c r="B149" s="236" t="s">
        <v>225</v>
      </c>
      <c r="C149" s="214" t="s">
        <v>489</v>
      </c>
      <c r="D149" s="190" t="s">
        <v>72</v>
      </c>
      <c r="E149" s="316" t="s">
        <v>647</v>
      </c>
      <c r="F149" s="65">
        <v>5</v>
      </c>
      <c r="G149" s="66">
        <v>25.66</v>
      </c>
      <c r="H149" s="67">
        <f t="shared" si="69"/>
        <v>32.74</v>
      </c>
      <c r="I149" s="67">
        <f t="shared" si="70"/>
        <v>163.69999999999999</v>
      </c>
      <c r="J149" s="101">
        <v>0</v>
      </c>
      <c r="K149" s="102" t="e">
        <f>(J149*#REF!)</f>
        <v>#REF!</v>
      </c>
      <c r="L149" s="80"/>
      <c r="N149" s="89"/>
    </row>
    <row r="150" spans="2:14" s="88" customFormat="1" ht="40.5" customHeight="1">
      <c r="B150" s="236" t="s">
        <v>387</v>
      </c>
      <c r="C150" s="214" t="s">
        <v>490</v>
      </c>
      <c r="D150" s="190" t="s">
        <v>72</v>
      </c>
      <c r="E150" s="306">
        <v>89612</v>
      </c>
      <c r="F150" s="65">
        <v>1</v>
      </c>
      <c r="G150" s="66">
        <v>138.41</v>
      </c>
      <c r="H150" s="67">
        <f t="shared" si="69"/>
        <v>176.65</v>
      </c>
      <c r="I150" s="67">
        <f t="shared" si="70"/>
        <v>176.65</v>
      </c>
      <c r="J150" s="101">
        <v>0</v>
      </c>
      <c r="K150" s="102" t="e">
        <f>(J150*#REF!)</f>
        <v>#REF!</v>
      </c>
      <c r="L150" s="80"/>
      <c r="N150" s="89"/>
    </row>
    <row r="151" spans="2:14" s="88" customFormat="1" ht="72.75" customHeight="1">
      <c r="B151" s="236" t="s">
        <v>388</v>
      </c>
      <c r="C151" s="214" t="s">
        <v>492</v>
      </c>
      <c r="D151" s="190" t="s">
        <v>72</v>
      </c>
      <c r="E151" s="306">
        <v>94713</v>
      </c>
      <c r="F151" s="65">
        <v>1</v>
      </c>
      <c r="G151" s="66">
        <v>165.63</v>
      </c>
      <c r="H151" s="67">
        <f t="shared" ref="H151" si="71">TRUNC(G151*(1+$H$13),2)</f>
        <v>211.39</v>
      </c>
      <c r="I151" s="67">
        <f t="shared" ref="I151" si="72">TRUNC(H151*F151,2)</f>
        <v>211.39</v>
      </c>
      <c r="J151" s="101">
        <v>0</v>
      </c>
      <c r="K151" s="102" t="e">
        <f>(J151*#REF!)</f>
        <v>#REF!</v>
      </c>
      <c r="L151" s="80"/>
      <c r="N151" s="89"/>
    </row>
    <row r="152" spans="2:14" s="88" customFormat="1" ht="55.5" customHeight="1">
      <c r="B152" s="236" t="s">
        <v>389</v>
      </c>
      <c r="C152" s="214" t="s">
        <v>494</v>
      </c>
      <c r="D152" s="190" t="s">
        <v>72</v>
      </c>
      <c r="E152" s="306">
        <v>94499</v>
      </c>
      <c r="F152" s="65">
        <v>1</v>
      </c>
      <c r="G152" s="66">
        <v>123.08</v>
      </c>
      <c r="H152" s="67">
        <f t="shared" si="53"/>
        <v>157.08000000000001</v>
      </c>
      <c r="I152" s="67">
        <f t="shared" si="54"/>
        <v>157.08000000000001</v>
      </c>
      <c r="J152" s="101">
        <v>0</v>
      </c>
      <c r="K152" s="102" t="e">
        <f>(J152*#REF!)</f>
        <v>#REF!</v>
      </c>
      <c r="L152" s="80"/>
      <c r="N152" s="89"/>
    </row>
    <row r="153" spans="2:14" s="88" customFormat="1" ht="67.5" customHeight="1">
      <c r="B153" s="236" t="s">
        <v>390</v>
      </c>
      <c r="C153" s="214" t="s">
        <v>495</v>
      </c>
      <c r="D153" s="190" t="s">
        <v>72</v>
      </c>
      <c r="E153" s="306">
        <v>94794</v>
      </c>
      <c r="F153" s="65">
        <v>2</v>
      </c>
      <c r="G153" s="66">
        <v>78.849999999999994</v>
      </c>
      <c r="H153" s="67">
        <f t="shared" ref="H153" si="73">TRUNC(G153*(1+$H$13),2)</f>
        <v>100.63</v>
      </c>
      <c r="I153" s="67">
        <f t="shared" ref="I153" si="74">TRUNC(H153*F153,2)</f>
        <v>201.26</v>
      </c>
      <c r="J153" s="101">
        <v>0</v>
      </c>
      <c r="K153" s="102" t="e">
        <f>(J153*#REF!)</f>
        <v>#REF!</v>
      </c>
      <c r="L153" s="80"/>
      <c r="N153" s="89"/>
    </row>
    <row r="154" spans="2:14" s="88" customFormat="1" ht="52.5" customHeight="1">
      <c r="B154" s="236" t="s">
        <v>391</v>
      </c>
      <c r="C154" s="63" t="s">
        <v>148</v>
      </c>
      <c r="D154" s="190" t="s">
        <v>72</v>
      </c>
      <c r="E154" s="306">
        <v>89987</v>
      </c>
      <c r="F154" s="65">
        <v>6</v>
      </c>
      <c r="G154" s="66">
        <v>38.76</v>
      </c>
      <c r="H154" s="67">
        <f t="shared" ref="H154" si="75">TRUNC(G154*(1+$H$13),2)</f>
        <v>49.46</v>
      </c>
      <c r="I154" s="67">
        <f t="shared" ref="I154" si="76">TRUNC(H154*F154,2)</f>
        <v>296.76</v>
      </c>
      <c r="J154" s="101">
        <v>0</v>
      </c>
      <c r="K154" s="102" t="e">
        <f>(J154*#REF!)</f>
        <v>#REF!</v>
      </c>
      <c r="L154" s="80"/>
      <c r="N154" s="89"/>
    </row>
    <row r="155" spans="2:14" s="88" customFormat="1" ht="52.5" customHeight="1">
      <c r="B155" s="236" t="s">
        <v>392</v>
      </c>
      <c r="C155" s="63" t="s">
        <v>160</v>
      </c>
      <c r="D155" s="190" t="s">
        <v>72</v>
      </c>
      <c r="E155" s="306">
        <v>89985</v>
      </c>
      <c r="F155" s="65">
        <v>5</v>
      </c>
      <c r="G155" s="66">
        <v>37.049999999999997</v>
      </c>
      <c r="H155" s="67">
        <f t="shared" si="53"/>
        <v>47.28</v>
      </c>
      <c r="I155" s="67">
        <f t="shared" si="54"/>
        <v>236.4</v>
      </c>
      <c r="J155" s="101">
        <v>0</v>
      </c>
      <c r="K155" s="102" t="e">
        <f>(J155*#REF!)</f>
        <v>#REF!</v>
      </c>
      <c r="L155" s="80"/>
      <c r="N155" s="89"/>
    </row>
    <row r="156" spans="2:14" s="88" customFormat="1" ht="42" customHeight="1">
      <c r="B156" s="236" t="s">
        <v>393</v>
      </c>
      <c r="C156" s="214" t="s">
        <v>493</v>
      </c>
      <c r="D156" s="190" t="s">
        <v>72</v>
      </c>
      <c r="E156" s="144">
        <v>40729</v>
      </c>
      <c r="F156" s="65">
        <v>7</v>
      </c>
      <c r="G156" s="66">
        <v>182.41</v>
      </c>
      <c r="H156" s="67">
        <f t="shared" ref="H156" si="77">TRUNC(G156*(1+$H$13),2)</f>
        <v>232.8</v>
      </c>
      <c r="I156" s="67">
        <f t="shared" ref="I156" si="78">TRUNC(H156*F156,2)</f>
        <v>1629.6</v>
      </c>
      <c r="J156" s="101">
        <v>0</v>
      </c>
      <c r="K156" s="102" t="e">
        <f>(J156*#REF!)</f>
        <v>#REF!</v>
      </c>
      <c r="L156" s="80"/>
      <c r="N156" s="89"/>
    </row>
    <row r="157" spans="2:14" s="88" customFormat="1" ht="42" customHeight="1">
      <c r="B157" s="236" t="s">
        <v>394</v>
      </c>
      <c r="C157" s="63" t="s">
        <v>159</v>
      </c>
      <c r="D157" s="190" t="s">
        <v>72</v>
      </c>
      <c r="E157" s="144">
        <v>9535</v>
      </c>
      <c r="F157" s="65">
        <v>5</v>
      </c>
      <c r="G157" s="66">
        <v>68.64</v>
      </c>
      <c r="H157" s="67">
        <f t="shared" si="53"/>
        <v>87.6</v>
      </c>
      <c r="I157" s="67">
        <f t="shared" si="54"/>
        <v>438</v>
      </c>
      <c r="J157" s="101">
        <v>0</v>
      </c>
      <c r="K157" s="102" t="e">
        <f>(J157*#REF!)</f>
        <v>#REF!</v>
      </c>
      <c r="L157" s="80"/>
      <c r="N157" s="89"/>
    </row>
    <row r="158" spans="2:14" s="88" customFormat="1" ht="39" customHeight="1">
      <c r="B158" s="236" t="s">
        <v>395</v>
      </c>
      <c r="C158" s="214" t="s">
        <v>496</v>
      </c>
      <c r="D158" s="190" t="s">
        <v>72</v>
      </c>
      <c r="E158" s="316" t="s">
        <v>653</v>
      </c>
      <c r="F158" s="65">
        <v>7</v>
      </c>
      <c r="G158" s="66">
        <v>199.27</v>
      </c>
      <c r="H158" s="67">
        <f t="shared" ref="H158" si="79">TRUNC(G158*(1+$H$13),2)</f>
        <v>254.32</v>
      </c>
      <c r="I158" s="67">
        <f t="shared" ref="I158" si="80">TRUNC(H158*F158,2)</f>
        <v>1780.24</v>
      </c>
      <c r="J158" s="101">
        <v>0</v>
      </c>
      <c r="K158" s="102" t="e">
        <f>(J158*#REF!)</f>
        <v>#REF!</v>
      </c>
      <c r="L158" s="80"/>
      <c r="N158" s="89"/>
    </row>
    <row r="159" spans="2:14" s="88" customFormat="1" ht="42" customHeight="1">
      <c r="B159" s="236" t="s">
        <v>396</v>
      </c>
      <c r="C159" s="214" t="s">
        <v>497</v>
      </c>
      <c r="D159" s="237" t="s">
        <v>2</v>
      </c>
      <c r="E159" s="144">
        <v>86909</v>
      </c>
      <c r="F159" s="65">
        <v>1</v>
      </c>
      <c r="G159" s="66">
        <v>102.66</v>
      </c>
      <c r="H159" s="67">
        <f t="shared" si="53"/>
        <v>131.02000000000001</v>
      </c>
      <c r="I159" s="67">
        <f t="shared" si="54"/>
        <v>131.02000000000001</v>
      </c>
      <c r="J159" s="101"/>
      <c r="K159" s="102"/>
      <c r="L159" s="80"/>
      <c r="N159" s="89"/>
    </row>
    <row r="160" spans="2:14" s="88" customFormat="1" ht="42" customHeight="1">
      <c r="B160" s="236" t="s">
        <v>397</v>
      </c>
      <c r="C160" s="214" t="s">
        <v>498</v>
      </c>
      <c r="D160" s="237" t="s">
        <v>2</v>
      </c>
      <c r="E160" s="144">
        <v>86915</v>
      </c>
      <c r="F160" s="65">
        <v>10</v>
      </c>
      <c r="G160" s="66">
        <v>86.6</v>
      </c>
      <c r="H160" s="67">
        <f t="shared" ref="H160" si="81">TRUNC(G160*(1+$H$13),2)</f>
        <v>110.52</v>
      </c>
      <c r="I160" s="67">
        <f t="shared" ref="I160" si="82">TRUNC(H160*F160,2)</f>
        <v>1105.2</v>
      </c>
      <c r="J160" s="101"/>
      <c r="K160" s="102"/>
      <c r="L160" s="80"/>
      <c r="N160" s="89"/>
    </row>
    <row r="161" spans="2:14" ht="18.75" customHeight="1">
      <c r="B161" s="379" t="s">
        <v>44</v>
      </c>
      <c r="C161" s="393"/>
      <c r="D161" s="190"/>
      <c r="E161" s="188"/>
      <c r="F161" s="65"/>
      <c r="G161" s="66"/>
      <c r="H161" s="67"/>
      <c r="I161" s="67"/>
      <c r="J161" s="97">
        <v>0</v>
      </c>
      <c r="K161" s="98" t="e">
        <f>(J161*#REF!)</f>
        <v>#REF!</v>
      </c>
      <c r="L161" s="57"/>
    </row>
    <row r="162" spans="2:14" s="88" customFormat="1" ht="46.5" customHeight="1">
      <c r="B162" s="236" t="s">
        <v>398</v>
      </c>
      <c r="C162" s="63" t="s">
        <v>88</v>
      </c>
      <c r="D162" s="190" t="s">
        <v>52</v>
      </c>
      <c r="E162" s="188">
        <v>89714</v>
      </c>
      <c r="F162" s="66">
        <v>85.69</v>
      </c>
      <c r="G162" s="66">
        <v>36.869999999999997</v>
      </c>
      <c r="H162" s="67">
        <f t="shared" si="53"/>
        <v>47.05</v>
      </c>
      <c r="I162" s="67">
        <f t="shared" ref="I162:I182" si="83">TRUNC(H162*F162,2)</f>
        <v>4031.71</v>
      </c>
      <c r="J162" s="101">
        <v>1</v>
      </c>
      <c r="K162" s="102" t="e">
        <f>(J162*#REF!)</f>
        <v>#REF!</v>
      </c>
      <c r="L162" s="80"/>
      <c r="N162" s="89"/>
    </row>
    <row r="163" spans="2:14" s="88" customFormat="1" ht="48" customHeight="1">
      <c r="B163" s="236" t="s">
        <v>399</v>
      </c>
      <c r="C163" s="63" t="s">
        <v>73</v>
      </c>
      <c r="D163" s="190" t="s">
        <v>52</v>
      </c>
      <c r="E163" s="188">
        <v>89712</v>
      </c>
      <c r="F163" s="66">
        <v>26.42</v>
      </c>
      <c r="G163" s="66">
        <v>18.989999999999998</v>
      </c>
      <c r="H163" s="67">
        <f t="shared" si="53"/>
        <v>24.23</v>
      </c>
      <c r="I163" s="67">
        <f t="shared" si="83"/>
        <v>640.15</v>
      </c>
      <c r="J163" s="101">
        <v>1</v>
      </c>
      <c r="K163" s="102" t="e">
        <f>(J163*#REF!)</f>
        <v>#REF!</v>
      </c>
      <c r="L163" s="80"/>
      <c r="N163" s="89"/>
    </row>
    <row r="164" spans="2:14" s="88" customFormat="1" ht="47.25" customHeight="1">
      <c r="B164" s="236" t="s">
        <v>400</v>
      </c>
      <c r="C164" s="63" t="s">
        <v>89</v>
      </c>
      <c r="D164" s="190" t="s">
        <v>52</v>
      </c>
      <c r="E164" s="188">
        <v>89711</v>
      </c>
      <c r="F164" s="66">
        <v>22.64</v>
      </c>
      <c r="G164" s="66">
        <v>12.85</v>
      </c>
      <c r="H164" s="67">
        <f t="shared" si="53"/>
        <v>16.399999999999999</v>
      </c>
      <c r="I164" s="67">
        <f t="shared" si="83"/>
        <v>371.29</v>
      </c>
      <c r="J164" s="101">
        <v>1</v>
      </c>
      <c r="K164" s="102" t="e">
        <f>(J164*#REF!)</f>
        <v>#REF!</v>
      </c>
      <c r="L164" s="80"/>
      <c r="N164" s="89"/>
    </row>
    <row r="165" spans="2:14" s="88" customFormat="1" ht="47.25" customHeight="1">
      <c r="B165" s="236" t="s">
        <v>513</v>
      </c>
      <c r="C165" s="63" t="s">
        <v>90</v>
      </c>
      <c r="D165" s="190" t="s">
        <v>72</v>
      </c>
      <c r="E165" s="188">
        <v>89728</v>
      </c>
      <c r="F165" s="66">
        <v>11</v>
      </c>
      <c r="G165" s="66">
        <v>7.35</v>
      </c>
      <c r="H165" s="67">
        <f t="shared" si="53"/>
        <v>9.3800000000000008</v>
      </c>
      <c r="I165" s="67">
        <f t="shared" si="83"/>
        <v>103.18</v>
      </c>
      <c r="J165" s="101">
        <v>1</v>
      </c>
      <c r="K165" s="102" t="e">
        <f>(J165*#REF!)</f>
        <v>#REF!</v>
      </c>
      <c r="L165" s="80"/>
      <c r="N165" s="89"/>
    </row>
    <row r="166" spans="2:14" s="88" customFormat="1" ht="58.5" customHeight="1">
      <c r="B166" s="236" t="s">
        <v>514</v>
      </c>
      <c r="C166" s="63" t="s">
        <v>146</v>
      </c>
      <c r="D166" s="190" t="s">
        <v>72</v>
      </c>
      <c r="E166" s="188">
        <v>89744</v>
      </c>
      <c r="F166" s="66">
        <v>7</v>
      </c>
      <c r="G166" s="66">
        <v>17.04</v>
      </c>
      <c r="H166" s="67">
        <f t="shared" si="53"/>
        <v>21.74</v>
      </c>
      <c r="I166" s="67">
        <f t="shared" si="83"/>
        <v>152.18</v>
      </c>
      <c r="J166" s="101">
        <v>1</v>
      </c>
      <c r="K166" s="102" t="e">
        <f>(J166*#REF!)</f>
        <v>#REF!</v>
      </c>
      <c r="L166" s="80"/>
      <c r="N166" s="89"/>
    </row>
    <row r="167" spans="2:14" s="88" customFormat="1" ht="55.5" customHeight="1">
      <c r="B167" s="236" t="s">
        <v>530</v>
      </c>
      <c r="C167" s="63" t="s">
        <v>157</v>
      </c>
      <c r="D167" s="190" t="s">
        <v>72</v>
      </c>
      <c r="E167" s="188">
        <v>89724</v>
      </c>
      <c r="F167" s="66">
        <v>11</v>
      </c>
      <c r="G167" s="66">
        <v>5.59</v>
      </c>
      <c r="H167" s="67">
        <f t="shared" si="53"/>
        <v>7.13</v>
      </c>
      <c r="I167" s="67">
        <f t="shared" si="83"/>
        <v>78.430000000000007</v>
      </c>
      <c r="J167" s="101">
        <v>1</v>
      </c>
      <c r="K167" s="102" t="e">
        <f>(J167*#REF!)</f>
        <v>#REF!</v>
      </c>
      <c r="L167" s="80"/>
      <c r="N167" s="89"/>
    </row>
    <row r="168" spans="2:14" s="88" customFormat="1" ht="54.75" customHeight="1">
      <c r="B168" s="236" t="s">
        <v>531</v>
      </c>
      <c r="C168" s="214" t="s">
        <v>90</v>
      </c>
      <c r="D168" s="190" t="s">
        <v>72</v>
      </c>
      <c r="E168" s="188">
        <v>89728</v>
      </c>
      <c r="F168" s="66">
        <v>2</v>
      </c>
      <c r="G168" s="66">
        <v>7.35</v>
      </c>
      <c r="H168" s="67">
        <f t="shared" ref="H168" si="84">TRUNC(G168*(1+$H$13),2)</f>
        <v>9.3800000000000008</v>
      </c>
      <c r="I168" s="67">
        <f t="shared" ref="I168" si="85">TRUNC(H168*F168,2)</f>
        <v>18.760000000000002</v>
      </c>
      <c r="J168" s="101">
        <v>1</v>
      </c>
      <c r="K168" s="102" t="e">
        <f>(J168*#REF!)</f>
        <v>#REF!</v>
      </c>
      <c r="L168" s="80"/>
      <c r="N168" s="89"/>
    </row>
    <row r="169" spans="2:14" s="88" customFormat="1" ht="60" customHeight="1">
      <c r="B169" s="236" t="s">
        <v>532</v>
      </c>
      <c r="C169" s="214" t="s">
        <v>502</v>
      </c>
      <c r="D169" s="190" t="s">
        <v>72</v>
      </c>
      <c r="E169" s="188">
        <v>89726</v>
      </c>
      <c r="F169" s="66">
        <v>6</v>
      </c>
      <c r="G169" s="66">
        <v>6.35</v>
      </c>
      <c r="H169" s="67">
        <f t="shared" ref="H169" si="86">TRUNC(G169*(1+$H$13),2)</f>
        <v>8.1</v>
      </c>
      <c r="I169" s="67">
        <f t="shared" ref="I169" si="87">TRUNC(H169*F169,2)</f>
        <v>48.6</v>
      </c>
      <c r="J169" s="101"/>
      <c r="K169" s="102"/>
      <c r="L169" s="80"/>
      <c r="N169" s="89"/>
    </row>
    <row r="170" spans="2:14" s="88" customFormat="1" ht="55.5" customHeight="1">
      <c r="B170" s="236" t="s">
        <v>533</v>
      </c>
      <c r="C170" s="214" t="s">
        <v>503</v>
      </c>
      <c r="D170" s="190" t="s">
        <v>72</v>
      </c>
      <c r="E170" s="188">
        <v>89746</v>
      </c>
      <c r="F170" s="66">
        <v>2</v>
      </c>
      <c r="G170" s="66">
        <v>17.100000000000001</v>
      </c>
      <c r="H170" s="67">
        <f t="shared" ref="H170" si="88">TRUNC(G170*(1+$H$13),2)</f>
        <v>21.82</v>
      </c>
      <c r="I170" s="67">
        <f t="shared" ref="I170" si="89">TRUNC(H170*F170,2)</f>
        <v>43.64</v>
      </c>
      <c r="J170" s="101"/>
      <c r="K170" s="102"/>
      <c r="L170" s="80"/>
      <c r="N170" s="89"/>
    </row>
    <row r="171" spans="2:14" s="88" customFormat="1" ht="55.5" customHeight="1">
      <c r="B171" s="236" t="s">
        <v>534</v>
      </c>
      <c r="C171" s="214" t="s">
        <v>505</v>
      </c>
      <c r="D171" s="190" t="s">
        <v>72</v>
      </c>
      <c r="E171" s="188">
        <v>89797</v>
      </c>
      <c r="F171" s="66">
        <v>4</v>
      </c>
      <c r="G171" s="66">
        <v>32.47</v>
      </c>
      <c r="H171" s="67">
        <f t="shared" ref="H171" si="90">TRUNC(G171*(1+$H$13),2)</f>
        <v>41.44</v>
      </c>
      <c r="I171" s="67">
        <f t="shared" ref="I171" si="91">TRUNC(H171*F171,2)</f>
        <v>165.76</v>
      </c>
      <c r="J171" s="101"/>
      <c r="K171" s="102"/>
      <c r="L171" s="80"/>
      <c r="N171" s="89"/>
    </row>
    <row r="172" spans="2:14" s="88" customFormat="1" ht="44.25" customHeight="1">
      <c r="B172" s="236" t="s">
        <v>535</v>
      </c>
      <c r="C172" s="214" t="s">
        <v>260</v>
      </c>
      <c r="D172" s="190" t="s">
        <v>72</v>
      </c>
      <c r="E172" s="188">
        <v>89785</v>
      </c>
      <c r="F172" s="66">
        <v>6</v>
      </c>
      <c r="G172" s="66">
        <v>14.51</v>
      </c>
      <c r="H172" s="67">
        <f t="shared" si="53"/>
        <v>18.510000000000002</v>
      </c>
      <c r="I172" s="67">
        <f t="shared" si="83"/>
        <v>111.06</v>
      </c>
      <c r="J172" s="101"/>
      <c r="K172" s="102"/>
      <c r="L172" s="80"/>
      <c r="N172" s="89"/>
    </row>
    <row r="173" spans="2:14" s="88" customFormat="1" ht="47.25" customHeight="1">
      <c r="B173" s="236" t="s">
        <v>594</v>
      </c>
      <c r="C173" s="63" t="s">
        <v>165</v>
      </c>
      <c r="D173" s="190" t="s">
        <v>72</v>
      </c>
      <c r="E173" s="144">
        <v>89482</v>
      </c>
      <c r="F173" s="66">
        <v>2</v>
      </c>
      <c r="G173" s="66">
        <v>17.190000000000001</v>
      </c>
      <c r="H173" s="67">
        <f t="shared" si="53"/>
        <v>21.93</v>
      </c>
      <c r="I173" s="67">
        <f t="shared" si="83"/>
        <v>43.86</v>
      </c>
      <c r="J173" s="101">
        <v>1</v>
      </c>
      <c r="K173" s="102" t="e">
        <f>(J173*#REF!)</f>
        <v>#REF!</v>
      </c>
      <c r="L173" s="80"/>
      <c r="N173" s="89"/>
    </row>
    <row r="174" spans="2:14" s="88" customFormat="1" ht="33" customHeight="1">
      <c r="B174" s="236" t="s">
        <v>595</v>
      </c>
      <c r="C174" s="214" t="s">
        <v>504</v>
      </c>
      <c r="D174" s="190" t="s">
        <v>72</v>
      </c>
      <c r="E174" s="316" t="s">
        <v>654</v>
      </c>
      <c r="F174" s="66">
        <v>5</v>
      </c>
      <c r="G174" s="66">
        <v>40.380000000000003</v>
      </c>
      <c r="H174" s="67">
        <f t="shared" ref="H174" si="92">TRUNC(G174*(1+$H$13),2)</f>
        <v>51.53</v>
      </c>
      <c r="I174" s="67">
        <f t="shared" ref="I174" si="93">TRUNC(H174*F174,2)</f>
        <v>257.64999999999998</v>
      </c>
      <c r="J174" s="101">
        <v>1</v>
      </c>
      <c r="K174" s="102" t="e">
        <f>(J174*#REF!)</f>
        <v>#REF!</v>
      </c>
      <c r="L174" s="80"/>
      <c r="N174" s="89"/>
    </row>
    <row r="175" spans="2:14" s="88" customFormat="1" ht="66" customHeight="1">
      <c r="B175" s="236" t="s">
        <v>596</v>
      </c>
      <c r="C175" s="214" t="s">
        <v>501</v>
      </c>
      <c r="D175" s="237" t="s">
        <v>2</v>
      </c>
      <c r="E175" s="144">
        <v>72739</v>
      </c>
      <c r="F175" s="65">
        <v>7</v>
      </c>
      <c r="G175" s="66">
        <v>409.23</v>
      </c>
      <c r="H175" s="67">
        <f t="shared" si="53"/>
        <v>522.29999999999995</v>
      </c>
      <c r="I175" s="67">
        <f t="shared" si="83"/>
        <v>3656.1</v>
      </c>
      <c r="J175" s="101">
        <v>0</v>
      </c>
      <c r="K175" s="102" t="e">
        <f>(J175*#REF!)</f>
        <v>#REF!</v>
      </c>
      <c r="L175" s="80"/>
      <c r="N175" s="89"/>
    </row>
    <row r="176" spans="2:14" s="88" customFormat="1" ht="47.25" customHeight="1">
      <c r="B176" s="236" t="s">
        <v>597</v>
      </c>
      <c r="C176" s="214" t="s">
        <v>500</v>
      </c>
      <c r="D176" s="65" t="s">
        <v>72</v>
      </c>
      <c r="E176" s="313">
        <v>86938</v>
      </c>
      <c r="F176" s="66">
        <v>10</v>
      </c>
      <c r="G176" s="66">
        <v>227.41</v>
      </c>
      <c r="H176" s="67">
        <f t="shared" si="53"/>
        <v>290.24</v>
      </c>
      <c r="I176" s="67">
        <f t="shared" si="83"/>
        <v>2902.4</v>
      </c>
      <c r="J176" s="101">
        <v>0</v>
      </c>
      <c r="K176" s="102" t="e">
        <f>(J176*#REF!)</f>
        <v>#REF!</v>
      </c>
      <c r="L176" s="80"/>
      <c r="N176" s="89"/>
    </row>
    <row r="177" spans="1:14" s="88" customFormat="1" ht="56.25" customHeight="1">
      <c r="B177" s="236" t="s">
        <v>598</v>
      </c>
      <c r="C177" s="214" t="s">
        <v>499</v>
      </c>
      <c r="D177" s="65" t="s">
        <v>72</v>
      </c>
      <c r="E177" s="188">
        <v>86935</v>
      </c>
      <c r="F177" s="66">
        <v>1</v>
      </c>
      <c r="G177" s="66">
        <v>183.02</v>
      </c>
      <c r="H177" s="67">
        <f t="shared" ref="H177" si="94">TRUNC(G177*(1+$H$13),2)</f>
        <v>233.58</v>
      </c>
      <c r="I177" s="67">
        <f t="shared" ref="I177" si="95">TRUNC(H177*F177,2)</f>
        <v>233.58</v>
      </c>
      <c r="J177" s="101">
        <v>0</v>
      </c>
      <c r="K177" s="102" t="e">
        <f>(J177*#REF!)</f>
        <v>#REF!</v>
      </c>
      <c r="L177" s="80"/>
      <c r="N177" s="89"/>
    </row>
    <row r="178" spans="1:14" s="88" customFormat="1" ht="42" customHeight="1">
      <c r="B178" s="236" t="s">
        <v>599</v>
      </c>
      <c r="C178" s="63" t="s">
        <v>119</v>
      </c>
      <c r="D178" s="65" t="s">
        <v>72</v>
      </c>
      <c r="E178" s="306" t="s">
        <v>118</v>
      </c>
      <c r="F178" s="66">
        <v>8</v>
      </c>
      <c r="G178" s="66">
        <v>210.05</v>
      </c>
      <c r="H178" s="67">
        <f t="shared" si="53"/>
        <v>268.08</v>
      </c>
      <c r="I178" s="67">
        <f t="shared" si="83"/>
        <v>2144.64</v>
      </c>
      <c r="J178" s="101">
        <v>0</v>
      </c>
      <c r="K178" s="102" t="e">
        <f>(J178*#REF!)</f>
        <v>#REF!</v>
      </c>
      <c r="L178" s="80"/>
      <c r="N178" s="89"/>
    </row>
    <row r="179" spans="1:14" s="88" customFormat="1" ht="42" customHeight="1">
      <c r="B179" s="236" t="s">
        <v>600</v>
      </c>
      <c r="C179" s="63" t="s">
        <v>177</v>
      </c>
      <c r="D179" s="65" t="s">
        <v>72</v>
      </c>
      <c r="E179" s="306">
        <v>98103</v>
      </c>
      <c r="F179" s="66">
        <v>1</v>
      </c>
      <c r="G179" s="66">
        <v>162.30000000000001</v>
      </c>
      <c r="H179" s="67">
        <f t="shared" si="53"/>
        <v>207.14</v>
      </c>
      <c r="I179" s="67">
        <f t="shared" si="83"/>
        <v>207.14</v>
      </c>
      <c r="J179" s="101">
        <v>0</v>
      </c>
      <c r="K179" s="102" t="e">
        <f>(J179*#REF!)</f>
        <v>#REF!</v>
      </c>
      <c r="L179" s="80"/>
      <c r="N179" s="89"/>
    </row>
    <row r="180" spans="1:14" s="88" customFormat="1" ht="57" customHeight="1">
      <c r="B180" s="236" t="s">
        <v>601</v>
      </c>
      <c r="C180" s="214" t="s">
        <v>506</v>
      </c>
      <c r="D180" s="65" t="s">
        <v>72</v>
      </c>
      <c r="E180" s="188">
        <v>98054</v>
      </c>
      <c r="F180" s="66">
        <v>1</v>
      </c>
      <c r="G180" s="66">
        <v>2668.9</v>
      </c>
      <c r="H180" s="67">
        <f t="shared" si="53"/>
        <v>3406.31</v>
      </c>
      <c r="I180" s="67">
        <f t="shared" si="83"/>
        <v>3406.31</v>
      </c>
      <c r="J180" s="101"/>
      <c r="K180" s="102"/>
      <c r="L180" s="80"/>
      <c r="N180" s="89"/>
    </row>
    <row r="181" spans="1:14" s="88" customFormat="1" ht="64.5" customHeight="1">
      <c r="A181" s="175"/>
      <c r="B181" s="236" t="s">
        <v>602</v>
      </c>
      <c r="C181" s="214" t="s">
        <v>507</v>
      </c>
      <c r="D181" s="65" t="s">
        <v>72</v>
      </c>
      <c r="E181" s="188">
        <v>98090</v>
      </c>
      <c r="F181" s="66">
        <v>1</v>
      </c>
      <c r="G181" s="66">
        <v>5672.18</v>
      </c>
      <c r="H181" s="67">
        <f t="shared" si="53"/>
        <v>7239.4</v>
      </c>
      <c r="I181" s="67">
        <f t="shared" si="83"/>
        <v>7239.4</v>
      </c>
      <c r="J181" s="101"/>
      <c r="K181" s="102"/>
      <c r="L181" s="80"/>
      <c r="N181" s="89"/>
    </row>
    <row r="182" spans="1:14" s="88" customFormat="1" ht="36" customHeight="1">
      <c r="B182" s="236" t="s">
        <v>603</v>
      </c>
      <c r="C182" s="214" t="s">
        <v>231</v>
      </c>
      <c r="D182" s="65" t="s">
        <v>72</v>
      </c>
      <c r="E182" s="189" t="s">
        <v>637</v>
      </c>
      <c r="F182" s="66">
        <v>1</v>
      </c>
      <c r="G182" s="66">
        <v>1184.25</v>
      </c>
      <c r="H182" s="67">
        <f t="shared" si="53"/>
        <v>1511.45</v>
      </c>
      <c r="I182" s="67">
        <f t="shared" si="83"/>
        <v>1511.45</v>
      </c>
      <c r="J182" s="101">
        <v>0</v>
      </c>
      <c r="K182" s="102" t="e">
        <f>(J182*#REF!)</f>
        <v>#REF!</v>
      </c>
      <c r="L182" s="80"/>
      <c r="N182" s="89"/>
    </row>
    <row r="183" spans="1:14" s="88" customFormat="1" ht="15.75" customHeight="1">
      <c r="B183" s="379" t="s">
        <v>559</v>
      </c>
      <c r="C183" s="380"/>
      <c r="D183" s="325"/>
      <c r="E183" s="146"/>
      <c r="F183" s="326"/>
      <c r="G183" s="327"/>
      <c r="H183" s="328"/>
      <c r="I183" s="329"/>
      <c r="J183" s="310">
        <v>0</v>
      </c>
      <c r="K183" s="311" t="e">
        <f>(J183*#REF!)</f>
        <v>#REF!</v>
      </c>
      <c r="L183" s="312"/>
      <c r="N183" s="89"/>
    </row>
    <row r="184" spans="1:14" s="88" customFormat="1" ht="45" customHeight="1">
      <c r="B184" s="236" t="s">
        <v>604</v>
      </c>
      <c r="C184" s="214" t="s">
        <v>556</v>
      </c>
      <c r="D184" s="237" t="s">
        <v>52</v>
      </c>
      <c r="E184" s="188">
        <v>89578</v>
      </c>
      <c r="F184" s="308">
        <v>31.5</v>
      </c>
      <c r="G184" s="308">
        <v>19.78</v>
      </c>
      <c r="H184" s="67">
        <f t="shared" si="53"/>
        <v>25.24</v>
      </c>
      <c r="I184" s="309">
        <f t="shared" ref="I184:I185" si="96">TRUNC(H184*F184,2)</f>
        <v>795.06</v>
      </c>
      <c r="J184" s="310">
        <v>0</v>
      </c>
      <c r="K184" s="311" t="e">
        <f>(J184*#REF!)</f>
        <v>#REF!</v>
      </c>
      <c r="L184" s="312"/>
      <c r="N184" s="89"/>
    </row>
    <row r="185" spans="1:14" s="88" customFormat="1" ht="44.25" customHeight="1">
      <c r="B185" s="236" t="s">
        <v>605</v>
      </c>
      <c r="C185" s="214" t="s">
        <v>558</v>
      </c>
      <c r="D185" s="237" t="s">
        <v>72</v>
      </c>
      <c r="E185" s="188">
        <v>89529</v>
      </c>
      <c r="F185" s="308">
        <v>27</v>
      </c>
      <c r="G185" s="308">
        <v>29.75</v>
      </c>
      <c r="H185" s="67">
        <f t="shared" si="53"/>
        <v>37.96</v>
      </c>
      <c r="I185" s="309">
        <f t="shared" si="96"/>
        <v>1024.92</v>
      </c>
      <c r="J185" s="310">
        <v>0</v>
      </c>
      <c r="K185" s="311" t="e">
        <f>(J185*#REF!)</f>
        <v>#REF!</v>
      </c>
      <c r="L185" s="312"/>
      <c r="N185" s="89"/>
    </row>
    <row r="186" spans="1:14" ht="18.75" customHeight="1">
      <c r="B186" s="379" t="s">
        <v>508</v>
      </c>
      <c r="C186" s="393"/>
      <c r="D186" s="190"/>
      <c r="E186" s="188"/>
      <c r="F186" s="65"/>
      <c r="G186" s="66"/>
      <c r="H186" s="67"/>
      <c r="I186" s="67"/>
      <c r="J186" s="97">
        <v>0</v>
      </c>
      <c r="K186" s="98" t="e">
        <f>(J186*#REF!)</f>
        <v>#REF!</v>
      </c>
      <c r="L186" s="57"/>
    </row>
    <row r="187" spans="1:14" s="88" customFormat="1" ht="34.5" customHeight="1">
      <c r="B187" s="236" t="s">
        <v>606</v>
      </c>
      <c r="C187" s="214" t="s">
        <v>510</v>
      </c>
      <c r="D187" s="190" t="s">
        <v>52</v>
      </c>
      <c r="E187" s="189" t="s">
        <v>638</v>
      </c>
      <c r="F187" s="66">
        <v>2.4</v>
      </c>
      <c r="G187" s="66">
        <v>7.12</v>
      </c>
      <c r="H187" s="67">
        <f t="shared" ref="H187" si="97">TRUNC(G187*(1+$H$13),2)</f>
        <v>9.08</v>
      </c>
      <c r="I187" s="67">
        <f t="shared" ref="I187" si="98">TRUNC(H187*F187,2)</f>
        <v>21.79</v>
      </c>
      <c r="J187" s="101">
        <v>1</v>
      </c>
      <c r="K187" s="102" t="e">
        <f>(J187*#REF!)</f>
        <v>#REF!</v>
      </c>
      <c r="L187" s="80"/>
      <c r="N187" s="89"/>
    </row>
    <row r="188" spans="1:14" s="88" customFormat="1" ht="37.5" customHeight="1">
      <c r="B188" s="236" t="s">
        <v>607</v>
      </c>
      <c r="C188" s="214" t="s">
        <v>512</v>
      </c>
      <c r="D188" s="65" t="s">
        <v>72</v>
      </c>
      <c r="E188" s="189" t="s">
        <v>659</v>
      </c>
      <c r="F188" s="66">
        <v>7</v>
      </c>
      <c r="G188" s="66">
        <v>136.35</v>
      </c>
      <c r="H188" s="67">
        <f t="shared" ref="H188" si="99">TRUNC(G188*(1+$H$13),2)</f>
        <v>174.02</v>
      </c>
      <c r="I188" s="67">
        <f t="shared" ref="I188" si="100">TRUNC(H188*F188,2)</f>
        <v>1218.1400000000001</v>
      </c>
      <c r="J188" s="101">
        <v>1</v>
      </c>
      <c r="K188" s="102" t="e">
        <f>(J188*#REF!)</f>
        <v>#REF!</v>
      </c>
      <c r="L188" s="80"/>
      <c r="N188" s="89"/>
    </row>
    <row r="189" spans="1:14" s="88" customFormat="1" ht="37.5" customHeight="1">
      <c r="B189" s="236" t="s">
        <v>608</v>
      </c>
      <c r="C189" s="214" t="s">
        <v>515</v>
      </c>
      <c r="D189" s="65" t="s">
        <v>72</v>
      </c>
      <c r="E189" s="306">
        <v>95547</v>
      </c>
      <c r="F189" s="66">
        <v>4</v>
      </c>
      <c r="G189" s="66">
        <v>40.82</v>
      </c>
      <c r="H189" s="67">
        <f t="shared" ref="H189" si="101">TRUNC(G189*(1+$H$13),2)</f>
        <v>52.09</v>
      </c>
      <c r="I189" s="67">
        <f t="shared" ref="I189" si="102">TRUNC(H189*F189,2)</f>
        <v>208.36</v>
      </c>
      <c r="J189" s="101">
        <v>1</v>
      </c>
      <c r="K189" s="102" t="e">
        <f>(J189*#REF!)</f>
        <v>#REF!</v>
      </c>
      <c r="L189" s="80"/>
      <c r="N189" s="89"/>
    </row>
    <row r="190" spans="1:14" s="88" customFormat="1" ht="37.5" customHeight="1">
      <c r="B190" s="236" t="s">
        <v>609</v>
      </c>
      <c r="C190" s="214" t="s">
        <v>516</v>
      </c>
      <c r="D190" s="65" t="s">
        <v>72</v>
      </c>
      <c r="E190" s="306">
        <v>95544</v>
      </c>
      <c r="F190" s="66">
        <v>7</v>
      </c>
      <c r="G190" s="66">
        <v>46.19</v>
      </c>
      <c r="H190" s="67">
        <f t="shared" ref="H190" si="103">TRUNC(G190*(1+$H$13),2)</f>
        <v>58.95</v>
      </c>
      <c r="I190" s="67">
        <f t="shared" ref="I190" si="104">TRUNC(H190*F190,2)</f>
        <v>412.65</v>
      </c>
      <c r="J190" s="101">
        <v>1</v>
      </c>
      <c r="K190" s="102" t="e">
        <f>(J190*#REF!)</f>
        <v>#REF!</v>
      </c>
      <c r="L190" s="80"/>
      <c r="N190" s="89"/>
    </row>
    <row r="191" spans="1:14" s="88" customFormat="1" ht="37.5" customHeight="1">
      <c r="B191" s="236" t="s">
        <v>610</v>
      </c>
      <c r="C191" s="214" t="s">
        <v>518</v>
      </c>
      <c r="D191" s="65" t="s">
        <v>72</v>
      </c>
      <c r="E191" s="189" t="s">
        <v>660</v>
      </c>
      <c r="F191" s="66">
        <v>4</v>
      </c>
      <c r="G191" s="66">
        <v>44.75</v>
      </c>
      <c r="H191" s="67">
        <f t="shared" ref="H191" si="105">TRUNC(G191*(1+$H$13),2)</f>
        <v>57.11</v>
      </c>
      <c r="I191" s="67">
        <f t="shared" ref="I191" si="106">TRUNC(H191*F191,2)</f>
        <v>228.44</v>
      </c>
      <c r="J191" s="101">
        <v>1</v>
      </c>
      <c r="K191" s="102" t="e">
        <f>(J191*#REF!)</f>
        <v>#REF!</v>
      </c>
      <c r="L191" s="80"/>
      <c r="N191" s="89"/>
    </row>
    <row r="192" spans="1:14" s="88" customFormat="1" ht="37.5" customHeight="1">
      <c r="B192" s="236" t="s">
        <v>611</v>
      </c>
      <c r="C192" s="214" t="s">
        <v>525</v>
      </c>
      <c r="D192" s="65" t="s">
        <v>72</v>
      </c>
      <c r="E192" s="189" t="s">
        <v>661</v>
      </c>
      <c r="F192" s="66">
        <v>4</v>
      </c>
      <c r="G192" s="66">
        <v>183.86</v>
      </c>
      <c r="H192" s="67">
        <f t="shared" ref="H192" si="107">TRUNC(G192*(1+$H$13),2)</f>
        <v>234.66</v>
      </c>
      <c r="I192" s="67">
        <f t="shared" ref="I192" si="108">TRUNC(H192*F192,2)</f>
        <v>938.64</v>
      </c>
      <c r="J192" s="101">
        <v>1</v>
      </c>
      <c r="K192" s="102" t="e">
        <f>(J192*#REF!)</f>
        <v>#REF!</v>
      </c>
      <c r="L192" s="80"/>
      <c r="N192" s="89"/>
    </row>
    <row r="193" spans="2:14" s="88" customFormat="1" ht="37.5" customHeight="1">
      <c r="B193" s="236" t="s">
        <v>612</v>
      </c>
      <c r="C193" s="214" t="s">
        <v>528</v>
      </c>
      <c r="D193" s="65" t="s">
        <v>72</v>
      </c>
      <c r="E193" s="189" t="s">
        <v>665</v>
      </c>
      <c r="F193" s="66">
        <v>3</v>
      </c>
      <c r="G193" s="66">
        <v>203.61</v>
      </c>
      <c r="H193" s="67">
        <f t="shared" ref="H193" si="109">TRUNC(G193*(1+$H$13),2)</f>
        <v>259.86</v>
      </c>
      <c r="I193" s="67">
        <f t="shared" ref="I193" si="110">TRUNC(H193*F193,2)</f>
        <v>779.58</v>
      </c>
      <c r="J193" s="101">
        <v>1</v>
      </c>
      <c r="K193" s="102" t="e">
        <f>(J193*#REF!)</f>
        <v>#REF!</v>
      </c>
      <c r="L193" s="80"/>
      <c r="N193" s="89"/>
    </row>
    <row r="194" spans="2:14" s="88" customFormat="1" ht="37.5" customHeight="1">
      <c r="B194" s="236" t="s">
        <v>613</v>
      </c>
      <c r="C194" s="214" t="s">
        <v>521</v>
      </c>
      <c r="D194" s="65" t="s">
        <v>72</v>
      </c>
      <c r="E194" s="189" t="s">
        <v>666</v>
      </c>
      <c r="F194" s="66">
        <v>7</v>
      </c>
      <c r="G194" s="66">
        <v>216.75</v>
      </c>
      <c r="H194" s="67">
        <f t="shared" ref="H194:H195" si="111">TRUNC(G194*(1+$H$13),2)</f>
        <v>276.63</v>
      </c>
      <c r="I194" s="67">
        <f t="shared" ref="I194:I195" si="112">TRUNC(H194*F194,2)</f>
        <v>1936.41</v>
      </c>
      <c r="J194" s="101">
        <v>1</v>
      </c>
      <c r="K194" s="102" t="e">
        <f>(J194*#REF!)</f>
        <v>#REF!</v>
      </c>
      <c r="L194" s="80"/>
      <c r="N194" s="89"/>
    </row>
    <row r="195" spans="2:14" s="88" customFormat="1" ht="33.75" customHeight="1">
      <c r="B195" s="236" t="s">
        <v>614</v>
      </c>
      <c r="C195" s="214" t="s">
        <v>560</v>
      </c>
      <c r="D195" s="237" t="s">
        <v>56</v>
      </c>
      <c r="E195" s="330" t="s">
        <v>561</v>
      </c>
      <c r="F195" s="307">
        <v>2.0499999999999998</v>
      </c>
      <c r="G195" s="308">
        <v>378.38</v>
      </c>
      <c r="H195" s="67">
        <f t="shared" si="111"/>
        <v>482.92</v>
      </c>
      <c r="I195" s="309">
        <f t="shared" si="112"/>
        <v>989.98</v>
      </c>
      <c r="J195" s="310">
        <v>0</v>
      </c>
      <c r="K195" s="311" t="e">
        <f>(J195*#REF!)</f>
        <v>#REF!</v>
      </c>
      <c r="L195" s="312"/>
      <c r="N195" s="89"/>
    </row>
    <row r="196" spans="2:14" s="88" customFormat="1" ht="33.75" customHeight="1">
      <c r="B196" s="236" t="s">
        <v>615</v>
      </c>
      <c r="C196" s="214" t="s">
        <v>574</v>
      </c>
      <c r="D196" s="237" t="s">
        <v>56</v>
      </c>
      <c r="E196" s="189" t="s">
        <v>668</v>
      </c>
      <c r="F196" s="307">
        <v>11.638999999999999</v>
      </c>
      <c r="G196" s="308">
        <v>544.66</v>
      </c>
      <c r="H196" s="67">
        <f t="shared" ref="H196" si="113">TRUNC(G196*(1+$H$13),2)</f>
        <v>695.14</v>
      </c>
      <c r="I196" s="309">
        <f t="shared" ref="I196" si="114">TRUNC(H196*F196,2)</f>
        <v>8090.73</v>
      </c>
      <c r="J196" s="310">
        <v>0</v>
      </c>
      <c r="K196" s="311" t="e">
        <f>(J196*#REF!)</f>
        <v>#REF!</v>
      </c>
      <c r="L196" s="312"/>
      <c r="N196" s="89"/>
    </row>
    <row r="197" spans="2:14" s="1" customFormat="1" ht="12.75" customHeight="1">
      <c r="B197" s="374" t="s">
        <v>6</v>
      </c>
      <c r="C197" s="375"/>
      <c r="D197" s="375"/>
      <c r="E197" s="375"/>
      <c r="F197" s="376"/>
      <c r="G197" s="377">
        <f>(100%)</f>
        <v>1</v>
      </c>
      <c r="H197" s="378"/>
      <c r="I197" s="151">
        <f>SUM(I129:I196)</f>
        <v>58692.500000000015</v>
      </c>
      <c r="J197" s="99" t="e">
        <f>(K197/#REF!)</f>
        <v>#REF!</v>
      </c>
      <c r="K197" s="100" t="e">
        <f>SUM(K152:K182)</f>
        <v>#REF!</v>
      </c>
      <c r="L197" s="58"/>
      <c r="N197" s="6"/>
    </row>
    <row r="198" spans="2:14" s="88" customFormat="1" ht="16.5" customHeight="1">
      <c r="B198" s="150">
        <v>14</v>
      </c>
      <c r="C198" s="17" t="s">
        <v>49</v>
      </c>
      <c r="D198" s="383"/>
      <c r="E198" s="381"/>
      <c r="F198" s="381"/>
      <c r="G198" s="381"/>
      <c r="H198" s="381"/>
      <c r="I198" s="382"/>
      <c r="J198" s="80"/>
      <c r="K198" s="80"/>
      <c r="L198" s="87"/>
      <c r="N198" s="89"/>
    </row>
    <row r="199" spans="2:14" s="88" customFormat="1" ht="51" customHeight="1">
      <c r="B199" s="236" t="s">
        <v>169</v>
      </c>
      <c r="C199" s="63" t="s">
        <v>151</v>
      </c>
      <c r="D199" s="190" t="s">
        <v>72</v>
      </c>
      <c r="E199" s="188">
        <v>97888</v>
      </c>
      <c r="F199" s="65">
        <v>2</v>
      </c>
      <c r="G199" s="66">
        <v>353.02</v>
      </c>
      <c r="H199" s="67">
        <f t="shared" ref="H199:H228" si="115">TRUNC(G199*(1+$H$13),2)</f>
        <v>450.55</v>
      </c>
      <c r="I199" s="67">
        <f t="shared" ref="I199:I228" si="116">TRUNC(H199*F199,2)</f>
        <v>901.1</v>
      </c>
      <c r="J199" s="101">
        <v>0</v>
      </c>
      <c r="K199" s="102" t="e">
        <f>(J199*#REF!)</f>
        <v>#REF!</v>
      </c>
      <c r="L199" s="80"/>
      <c r="N199" s="89"/>
    </row>
    <row r="200" spans="2:14" s="88" customFormat="1" ht="39.6">
      <c r="B200" s="236" t="s">
        <v>401</v>
      </c>
      <c r="C200" s="63" t="s">
        <v>113</v>
      </c>
      <c r="D200" s="190" t="s">
        <v>52</v>
      </c>
      <c r="E200" s="188">
        <v>91927</v>
      </c>
      <c r="F200" s="65">
        <v>1300.5999999999999</v>
      </c>
      <c r="G200" s="66">
        <v>3.23</v>
      </c>
      <c r="H200" s="67">
        <f t="shared" si="115"/>
        <v>4.12</v>
      </c>
      <c r="I200" s="67">
        <f t="shared" si="116"/>
        <v>5358.47</v>
      </c>
      <c r="J200" s="101">
        <v>0</v>
      </c>
      <c r="K200" s="102" t="e">
        <f>(J200*#REF!)</f>
        <v>#REF!</v>
      </c>
      <c r="L200" s="80"/>
      <c r="N200" s="89"/>
    </row>
    <row r="201" spans="2:14" s="88" customFormat="1" ht="48" customHeight="1">
      <c r="B201" s="236" t="s">
        <v>402</v>
      </c>
      <c r="C201" s="63" t="s">
        <v>178</v>
      </c>
      <c r="D201" s="190" t="s">
        <v>52</v>
      </c>
      <c r="E201" s="188">
        <v>91929</v>
      </c>
      <c r="F201" s="65">
        <v>238</v>
      </c>
      <c r="G201" s="66">
        <v>4.53</v>
      </c>
      <c r="H201" s="67">
        <f t="shared" si="115"/>
        <v>5.78</v>
      </c>
      <c r="I201" s="67">
        <f t="shared" si="116"/>
        <v>1375.64</v>
      </c>
      <c r="J201" s="101"/>
      <c r="K201" s="102"/>
      <c r="L201" s="80"/>
      <c r="N201" s="89"/>
    </row>
    <row r="202" spans="2:14" s="88" customFormat="1" ht="48" customHeight="1">
      <c r="B202" s="236" t="s">
        <v>403</v>
      </c>
      <c r="C202" s="214" t="s">
        <v>465</v>
      </c>
      <c r="D202" s="190" t="s">
        <v>52</v>
      </c>
      <c r="E202" s="188">
        <v>91935</v>
      </c>
      <c r="F202" s="65">
        <v>22.2</v>
      </c>
      <c r="G202" s="66">
        <v>14.54</v>
      </c>
      <c r="H202" s="67">
        <f t="shared" ref="H202" si="117">TRUNC(G202*(1+$H$13),2)</f>
        <v>18.55</v>
      </c>
      <c r="I202" s="67">
        <f t="shared" ref="I202" si="118">TRUNC(H202*F202,2)</f>
        <v>411.81</v>
      </c>
      <c r="J202" s="101"/>
      <c r="K202" s="102"/>
      <c r="L202" s="80"/>
      <c r="N202" s="89"/>
    </row>
    <row r="203" spans="2:14" s="88" customFormat="1" ht="48" customHeight="1">
      <c r="B203" s="236" t="s">
        <v>404</v>
      </c>
      <c r="C203" s="214" t="s">
        <v>466</v>
      </c>
      <c r="D203" s="190" t="s">
        <v>52</v>
      </c>
      <c r="E203" s="188">
        <v>92986</v>
      </c>
      <c r="F203" s="65">
        <v>88.8</v>
      </c>
      <c r="G203" s="66">
        <v>21.74</v>
      </c>
      <c r="H203" s="67">
        <f t="shared" ref="H203" si="119">TRUNC(G203*(1+$H$13),2)</f>
        <v>27.74</v>
      </c>
      <c r="I203" s="67">
        <f t="shared" ref="I203" si="120">TRUNC(H203*F203,2)</f>
        <v>2463.31</v>
      </c>
      <c r="J203" s="101"/>
      <c r="K203" s="102"/>
      <c r="L203" s="80"/>
      <c r="N203" s="89"/>
    </row>
    <row r="204" spans="2:14" s="88" customFormat="1" ht="42" customHeight="1">
      <c r="B204" s="236" t="s">
        <v>405</v>
      </c>
      <c r="C204" s="63" t="s">
        <v>166</v>
      </c>
      <c r="D204" s="190" t="s">
        <v>72</v>
      </c>
      <c r="E204" s="188">
        <v>91937</v>
      </c>
      <c r="F204" s="65">
        <v>37</v>
      </c>
      <c r="G204" s="66">
        <v>7.57</v>
      </c>
      <c r="H204" s="67">
        <f t="shared" si="115"/>
        <v>9.66</v>
      </c>
      <c r="I204" s="67">
        <f t="shared" si="116"/>
        <v>357.42</v>
      </c>
      <c r="J204" s="101">
        <v>0</v>
      </c>
      <c r="K204" s="102" t="e">
        <f>(J204*#REF!)</f>
        <v>#REF!</v>
      </c>
      <c r="L204" s="80"/>
      <c r="N204" s="89"/>
    </row>
    <row r="205" spans="2:14" s="88" customFormat="1" ht="33.75" customHeight="1">
      <c r="B205" s="236" t="s">
        <v>406</v>
      </c>
      <c r="C205" s="63" t="s">
        <v>84</v>
      </c>
      <c r="D205" s="190" t="s">
        <v>72</v>
      </c>
      <c r="E205" s="188">
        <v>91940</v>
      </c>
      <c r="F205" s="65">
        <v>29</v>
      </c>
      <c r="G205" s="66">
        <v>9.98</v>
      </c>
      <c r="H205" s="67">
        <f t="shared" si="115"/>
        <v>12.73</v>
      </c>
      <c r="I205" s="67">
        <f t="shared" si="116"/>
        <v>369.17</v>
      </c>
      <c r="J205" s="101">
        <v>0</v>
      </c>
      <c r="K205" s="102" t="e">
        <f>(J205*#REF!)</f>
        <v>#REF!</v>
      </c>
      <c r="L205" s="80"/>
      <c r="N205" s="89"/>
    </row>
    <row r="206" spans="2:14" s="88" customFormat="1" ht="48.75" customHeight="1">
      <c r="B206" s="236" t="s">
        <v>407</v>
      </c>
      <c r="C206" s="63" t="s">
        <v>179</v>
      </c>
      <c r="D206" s="190" t="s">
        <v>72</v>
      </c>
      <c r="E206" s="188">
        <v>91941</v>
      </c>
      <c r="F206" s="65">
        <v>7</v>
      </c>
      <c r="G206" s="66">
        <v>6.69</v>
      </c>
      <c r="H206" s="67">
        <f t="shared" si="115"/>
        <v>8.5299999999999994</v>
      </c>
      <c r="I206" s="67">
        <f t="shared" si="116"/>
        <v>59.71</v>
      </c>
      <c r="J206" s="101">
        <v>0</v>
      </c>
      <c r="K206" s="102" t="e">
        <f>(J206*#REF!)</f>
        <v>#REF!</v>
      </c>
      <c r="L206" s="80"/>
      <c r="N206" s="89"/>
    </row>
    <row r="207" spans="2:14" s="88" customFormat="1" ht="51" customHeight="1">
      <c r="B207" s="236" t="s">
        <v>408</v>
      </c>
      <c r="C207" s="63" t="s">
        <v>167</v>
      </c>
      <c r="D207" s="190" t="s">
        <v>72</v>
      </c>
      <c r="E207" s="188">
        <v>91939</v>
      </c>
      <c r="F207" s="65">
        <v>22</v>
      </c>
      <c r="G207" s="66">
        <v>18.75</v>
      </c>
      <c r="H207" s="67">
        <f t="shared" si="115"/>
        <v>23.93</v>
      </c>
      <c r="I207" s="67">
        <f t="shared" si="116"/>
        <v>526.46</v>
      </c>
      <c r="J207" s="101">
        <v>0</v>
      </c>
      <c r="K207" s="102" t="e">
        <f>(J207*#REF!)</f>
        <v>#REF!</v>
      </c>
      <c r="L207" s="80"/>
      <c r="N207" s="89"/>
    </row>
    <row r="208" spans="2:14" s="88" customFormat="1" ht="50.25" customHeight="1">
      <c r="B208" s="236" t="s">
        <v>409</v>
      </c>
      <c r="C208" s="214" t="s">
        <v>469</v>
      </c>
      <c r="D208" s="190" t="s">
        <v>72</v>
      </c>
      <c r="E208" s="188">
        <v>91992</v>
      </c>
      <c r="F208" s="65">
        <v>17</v>
      </c>
      <c r="G208" s="66">
        <v>25.56</v>
      </c>
      <c r="H208" s="67">
        <f t="shared" ref="H208" si="121">TRUNC(G208*(1+$H$13),2)</f>
        <v>32.619999999999997</v>
      </c>
      <c r="I208" s="67">
        <f t="shared" ref="I208" si="122">TRUNC(H208*F208,2)</f>
        <v>554.54</v>
      </c>
      <c r="J208" s="101">
        <v>0</v>
      </c>
      <c r="K208" s="102" t="e">
        <f>(J208*#REF!)</f>
        <v>#REF!</v>
      </c>
      <c r="L208" s="80"/>
      <c r="N208" s="89"/>
    </row>
    <row r="209" spans="2:14" s="88" customFormat="1" ht="50.25" customHeight="1">
      <c r="B209" s="236" t="s">
        <v>410</v>
      </c>
      <c r="C209" s="63" t="s">
        <v>181</v>
      </c>
      <c r="D209" s="190" t="s">
        <v>72</v>
      </c>
      <c r="E209" s="188">
        <v>91996</v>
      </c>
      <c r="F209" s="65">
        <v>13</v>
      </c>
      <c r="G209" s="66">
        <v>19.489999999999998</v>
      </c>
      <c r="H209" s="67">
        <f t="shared" si="115"/>
        <v>24.87</v>
      </c>
      <c r="I209" s="67">
        <f t="shared" si="116"/>
        <v>323.31</v>
      </c>
      <c r="J209" s="101">
        <v>0</v>
      </c>
      <c r="K209" s="102" t="e">
        <f>(J209*#REF!)</f>
        <v>#REF!</v>
      </c>
      <c r="L209" s="80"/>
      <c r="N209" s="89"/>
    </row>
    <row r="210" spans="2:14" s="88" customFormat="1" ht="50.25" customHeight="1">
      <c r="B210" s="236" t="s">
        <v>411</v>
      </c>
      <c r="C210" s="214" t="s">
        <v>468</v>
      </c>
      <c r="D210" s="190" t="s">
        <v>72</v>
      </c>
      <c r="E210" s="188">
        <v>91997</v>
      </c>
      <c r="F210" s="65">
        <v>3</v>
      </c>
      <c r="G210" s="66">
        <v>20.79</v>
      </c>
      <c r="H210" s="67">
        <f t="shared" ref="H210" si="123">TRUNC(G210*(1+$H$13),2)</f>
        <v>26.53</v>
      </c>
      <c r="I210" s="67">
        <f t="shared" ref="I210" si="124">TRUNC(H210*F210,2)</f>
        <v>79.59</v>
      </c>
      <c r="J210" s="101">
        <v>0</v>
      </c>
      <c r="K210" s="102" t="e">
        <f>(J210*#REF!)</f>
        <v>#REF!</v>
      </c>
      <c r="L210" s="80"/>
      <c r="N210" s="89"/>
    </row>
    <row r="211" spans="2:14" s="88" customFormat="1" ht="50.25" customHeight="1">
      <c r="B211" s="236" t="s">
        <v>412</v>
      </c>
      <c r="C211" s="63" t="s">
        <v>180</v>
      </c>
      <c r="D211" s="190" t="s">
        <v>72</v>
      </c>
      <c r="E211" s="188">
        <v>92000</v>
      </c>
      <c r="F211" s="65">
        <v>7</v>
      </c>
      <c r="G211" s="66">
        <v>17.13</v>
      </c>
      <c r="H211" s="67">
        <f t="shared" si="115"/>
        <v>21.86</v>
      </c>
      <c r="I211" s="67">
        <f t="shared" si="116"/>
        <v>153.02000000000001</v>
      </c>
      <c r="J211" s="101">
        <v>0</v>
      </c>
      <c r="K211" s="102" t="e">
        <f>(J211*#REF!)</f>
        <v>#REF!</v>
      </c>
      <c r="L211" s="80"/>
      <c r="N211" s="89"/>
    </row>
    <row r="212" spans="2:14" s="88" customFormat="1" ht="50.25" customHeight="1">
      <c r="B212" s="236" t="s">
        <v>413</v>
      </c>
      <c r="C212" s="214" t="s">
        <v>183</v>
      </c>
      <c r="D212" s="190" t="s">
        <v>72</v>
      </c>
      <c r="E212" s="189" t="s">
        <v>673</v>
      </c>
      <c r="F212" s="65">
        <v>5</v>
      </c>
      <c r="G212" s="66">
        <v>5.56</v>
      </c>
      <c r="H212" s="67">
        <f t="shared" si="115"/>
        <v>7.09</v>
      </c>
      <c r="I212" s="67">
        <f t="shared" si="116"/>
        <v>35.450000000000003</v>
      </c>
      <c r="J212" s="101">
        <v>0</v>
      </c>
      <c r="K212" s="102" t="e">
        <f>(J212*#REF!)</f>
        <v>#REF!</v>
      </c>
      <c r="L212" s="80"/>
      <c r="N212" s="89"/>
    </row>
    <row r="213" spans="2:14" s="88" customFormat="1" ht="45" customHeight="1">
      <c r="B213" s="236" t="s">
        <v>414</v>
      </c>
      <c r="C213" s="214" t="s">
        <v>470</v>
      </c>
      <c r="D213" s="190" t="s">
        <v>72</v>
      </c>
      <c r="E213" s="188">
        <v>92023</v>
      </c>
      <c r="F213" s="65">
        <v>2</v>
      </c>
      <c r="G213" s="66">
        <v>28.88</v>
      </c>
      <c r="H213" s="67">
        <f t="shared" ref="H213" si="125">TRUNC(G213*(1+$H$13),2)</f>
        <v>36.85</v>
      </c>
      <c r="I213" s="67">
        <f t="shared" ref="I213" si="126">TRUNC(H213*F213,2)</f>
        <v>73.7</v>
      </c>
      <c r="J213" s="101">
        <v>0</v>
      </c>
      <c r="K213" s="102" t="e">
        <f>(J213*#REF!)</f>
        <v>#REF!</v>
      </c>
      <c r="L213" s="80"/>
      <c r="N213" s="89"/>
    </row>
    <row r="214" spans="2:14" s="88" customFormat="1" ht="45" customHeight="1">
      <c r="B214" s="236" t="s">
        <v>415</v>
      </c>
      <c r="C214" s="63" t="s">
        <v>182</v>
      </c>
      <c r="D214" s="190" t="s">
        <v>72</v>
      </c>
      <c r="E214" s="188">
        <v>91953</v>
      </c>
      <c r="F214" s="65">
        <v>7</v>
      </c>
      <c r="G214" s="66">
        <v>16.239999999999998</v>
      </c>
      <c r="H214" s="67">
        <f t="shared" si="115"/>
        <v>20.72</v>
      </c>
      <c r="I214" s="67">
        <f t="shared" si="116"/>
        <v>145.04</v>
      </c>
      <c r="J214" s="101">
        <v>0</v>
      </c>
      <c r="K214" s="102" t="e">
        <f>(J214*#REF!)</f>
        <v>#REF!</v>
      </c>
      <c r="L214" s="80"/>
      <c r="N214" s="89"/>
    </row>
    <row r="215" spans="2:14" s="88" customFormat="1" ht="45" customHeight="1">
      <c r="B215" s="236" t="s">
        <v>416</v>
      </c>
      <c r="C215" s="214" t="s">
        <v>467</v>
      </c>
      <c r="D215" s="190" t="s">
        <v>72</v>
      </c>
      <c r="E215" s="188">
        <v>91955</v>
      </c>
      <c r="F215" s="65">
        <v>4</v>
      </c>
      <c r="G215" s="66">
        <v>20.16</v>
      </c>
      <c r="H215" s="67">
        <f t="shared" ref="H215" si="127">TRUNC(G215*(1+$H$13),2)</f>
        <v>25.73</v>
      </c>
      <c r="I215" s="67">
        <f t="shared" ref="I215" si="128">TRUNC(H215*F215,2)</f>
        <v>102.92</v>
      </c>
      <c r="J215" s="101">
        <v>0</v>
      </c>
      <c r="K215" s="102" t="e">
        <f>(J215*#REF!)</f>
        <v>#REF!</v>
      </c>
      <c r="L215" s="80"/>
      <c r="N215" s="89"/>
    </row>
    <row r="216" spans="2:14" s="88" customFormat="1" ht="45" customHeight="1">
      <c r="B216" s="236" t="s">
        <v>417</v>
      </c>
      <c r="C216" s="63" t="s">
        <v>85</v>
      </c>
      <c r="D216" s="190" t="s">
        <v>72</v>
      </c>
      <c r="E216" s="188">
        <v>91959</v>
      </c>
      <c r="F216" s="65">
        <v>2</v>
      </c>
      <c r="G216" s="66">
        <v>25.66</v>
      </c>
      <c r="H216" s="67">
        <f t="shared" si="115"/>
        <v>32.74</v>
      </c>
      <c r="I216" s="67">
        <f t="shared" si="116"/>
        <v>65.48</v>
      </c>
      <c r="J216" s="101">
        <v>0</v>
      </c>
      <c r="K216" s="102" t="e">
        <f>(J216*#REF!)</f>
        <v>#REF!</v>
      </c>
      <c r="L216" s="80"/>
      <c r="N216" s="89"/>
    </row>
    <row r="217" spans="2:14" s="88" customFormat="1" ht="30.75" customHeight="1">
      <c r="B217" s="236" t="s">
        <v>418</v>
      </c>
      <c r="C217" s="214" t="s">
        <v>686</v>
      </c>
      <c r="D217" s="237" t="s">
        <v>2</v>
      </c>
      <c r="E217" s="189" t="s">
        <v>679</v>
      </c>
      <c r="F217" s="65">
        <v>1</v>
      </c>
      <c r="G217" s="66">
        <v>307.91000000000003</v>
      </c>
      <c r="H217" s="67">
        <f t="shared" si="115"/>
        <v>392.98</v>
      </c>
      <c r="I217" s="67">
        <f t="shared" si="116"/>
        <v>392.98</v>
      </c>
      <c r="J217" s="101"/>
      <c r="K217" s="102"/>
      <c r="L217" s="80"/>
      <c r="N217" s="89"/>
    </row>
    <row r="218" spans="2:14" s="88" customFormat="1" ht="36.75" customHeight="1">
      <c r="B218" s="236" t="s">
        <v>419</v>
      </c>
      <c r="C218" s="63" t="s">
        <v>150</v>
      </c>
      <c r="D218" s="190" t="s">
        <v>72</v>
      </c>
      <c r="E218" s="188">
        <v>93653</v>
      </c>
      <c r="F218" s="65">
        <v>5</v>
      </c>
      <c r="G218" s="66">
        <v>7.98</v>
      </c>
      <c r="H218" s="67">
        <f t="shared" si="115"/>
        <v>10.18</v>
      </c>
      <c r="I218" s="67">
        <f t="shared" si="116"/>
        <v>50.9</v>
      </c>
      <c r="J218" s="101">
        <v>0</v>
      </c>
      <c r="K218" s="102" t="e">
        <f>(J218*#REF!)</f>
        <v>#REF!</v>
      </c>
      <c r="L218" s="80"/>
      <c r="N218" s="89"/>
    </row>
    <row r="219" spans="2:14" s="88" customFormat="1" ht="43.5" customHeight="1">
      <c r="B219" s="236" t="s">
        <v>420</v>
      </c>
      <c r="C219" s="214" t="s">
        <v>473</v>
      </c>
      <c r="D219" s="190" t="s">
        <v>72</v>
      </c>
      <c r="E219" s="188">
        <v>93654</v>
      </c>
      <c r="F219" s="65">
        <v>4</v>
      </c>
      <c r="G219" s="66">
        <v>8.4</v>
      </c>
      <c r="H219" s="67">
        <f t="shared" ref="H219" si="129">TRUNC(G219*(1+$H$13),2)</f>
        <v>10.72</v>
      </c>
      <c r="I219" s="67">
        <f t="shared" ref="I219" si="130">TRUNC(H219*F219,2)</f>
        <v>42.88</v>
      </c>
      <c r="J219" s="101">
        <v>0</v>
      </c>
      <c r="K219" s="102" t="e">
        <f>(J219*#REF!)</f>
        <v>#REF!</v>
      </c>
      <c r="L219" s="80"/>
      <c r="N219" s="89"/>
    </row>
    <row r="220" spans="2:14" s="88" customFormat="1" ht="45.75" customHeight="1">
      <c r="B220" s="236" t="s">
        <v>616</v>
      </c>
      <c r="C220" s="214" t="s">
        <v>257</v>
      </c>
      <c r="D220" s="190" t="s">
        <v>72</v>
      </c>
      <c r="E220" s="188">
        <v>93663</v>
      </c>
      <c r="F220" s="65">
        <v>5</v>
      </c>
      <c r="G220" s="66">
        <v>42</v>
      </c>
      <c r="H220" s="67">
        <f t="shared" si="115"/>
        <v>53.6</v>
      </c>
      <c r="I220" s="67">
        <f t="shared" si="116"/>
        <v>268</v>
      </c>
      <c r="J220" s="101">
        <v>0</v>
      </c>
      <c r="K220" s="102" t="e">
        <f>(J220*#REF!)</f>
        <v>#REF!</v>
      </c>
      <c r="L220" s="80"/>
      <c r="N220" s="89"/>
    </row>
    <row r="221" spans="2:14" s="15" customFormat="1" ht="33" customHeight="1">
      <c r="B221" s="236" t="s">
        <v>617</v>
      </c>
      <c r="C221" s="63" t="s">
        <v>186</v>
      </c>
      <c r="D221" s="190" t="s">
        <v>72</v>
      </c>
      <c r="E221" s="306" t="s">
        <v>680</v>
      </c>
      <c r="F221" s="65">
        <v>4</v>
      </c>
      <c r="G221" s="66">
        <v>57.21</v>
      </c>
      <c r="H221" s="67">
        <f t="shared" si="115"/>
        <v>73.010000000000005</v>
      </c>
      <c r="I221" s="67">
        <f t="shared" si="116"/>
        <v>292.04000000000002</v>
      </c>
      <c r="J221" s="104"/>
      <c r="K221" s="105"/>
      <c r="L221" s="70"/>
      <c r="N221" s="16"/>
    </row>
    <row r="222" spans="2:14" s="15" customFormat="1" ht="26.4">
      <c r="B222" s="236" t="s">
        <v>618</v>
      </c>
      <c r="C222" s="214" t="s">
        <v>258</v>
      </c>
      <c r="D222" s="190" t="s">
        <v>72</v>
      </c>
      <c r="E222" s="306" t="s">
        <v>681</v>
      </c>
      <c r="F222" s="65">
        <v>1</v>
      </c>
      <c r="G222" s="66">
        <v>244.44</v>
      </c>
      <c r="H222" s="67">
        <f t="shared" si="115"/>
        <v>311.97000000000003</v>
      </c>
      <c r="I222" s="67">
        <f t="shared" si="116"/>
        <v>311.97000000000003</v>
      </c>
      <c r="J222" s="200">
        <v>0</v>
      </c>
      <c r="K222" s="201" t="e">
        <f>(J222*#REF!)</f>
        <v>#REF!</v>
      </c>
      <c r="L222" s="64"/>
      <c r="N222" s="16"/>
    </row>
    <row r="223" spans="2:14" s="88" customFormat="1" ht="49.5" customHeight="1">
      <c r="B223" s="236" t="s">
        <v>619</v>
      </c>
      <c r="C223" s="214" t="s">
        <v>471</v>
      </c>
      <c r="D223" s="190" t="s">
        <v>52</v>
      </c>
      <c r="E223" s="188">
        <v>91856</v>
      </c>
      <c r="F223" s="65">
        <v>20.8</v>
      </c>
      <c r="G223" s="66">
        <v>7.36</v>
      </c>
      <c r="H223" s="67">
        <f t="shared" ref="H223" si="131">TRUNC(G223*(1+$H$13),2)</f>
        <v>9.39</v>
      </c>
      <c r="I223" s="67">
        <f t="shared" ref="I223" si="132">TRUNC(H223*F223,2)</f>
        <v>195.31</v>
      </c>
      <c r="J223" s="101">
        <v>0</v>
      </c>
      <c r="K223" s="102" t="e">
        <f>(J223*#REF!)</f>
        <v>#REF!</v>
      </c>
      <c r="L223" s="80"/>
      <c r="N223" s="89"/>
    </row>
    <row r="224" spans="2:14" s="88" customFormat="1" ht="49.5" customHeight="1">
      <c r="B224" s="236" t="s">
        <v>620</v>
      </c>
      <c r="C224" s="63" t="s">
        <v>168</v>
      </c>
      <c r="D224" s="190" t="s">
        <v>52</v>
      </c>
      <c r="E224" s="188">
        <v>91854</v>
      </c>
      <c r="F224" s="65">
        <v>378.8</v>
      </c>
      <c r="G224" s="66">
        <v>5.85</v>
      </c>
      <c r="H224" s="67">
        <f t="shared" si="115"/>
        <v>7.46</v>
      </c>
      <c r="I224" s="67">
        <f t="shared" si="116"/>
        <v>2825.84</v>
      </c>
      <c r="J224" s="101">
        <v>0</v>
      </c>
      <c r="K224" s="102" t="e">
        <f>(J224*#REF!)</f>
        <v>#REF!</v>
      </c>
      <c r="L224" s="80"/>
      <c r="N224" s="89"/>
    </row>
    <row r="225" spans="2:14" s="88" customFormat="1" ht="45.75" customHeight="1">
      <c r="B225" s="236" t="s">
        <v>621</v>
      </c>
      <c r="C225" s="63" t="s">
        <v>114</v>
      </c>
      <c r="D225" s="190" t="s">
        <v>52</v>
      </c>
      <c r="E225" s="188" t="s">
        <v>115</v>
      </c>
      <c r="F225" s="65">
        <v>22.2</v>
      </c>
      <c r="G225" s="66">
        <v>20.93</v>
      </c>
      <c r="H225" s="67">
        <f t="shared" si="115"/>
        <v>26.71</v>
      </c>
      <c r="I225" s="67">
        <f t="shared" si="116"/>
        <v>592.96</v>
      </c>
      <c r="J225" s="101"/>
      <c r="K225" s="102"/>
      <c r="L225" s="80"/>
      <c r="N225" s="89"/>
    </row>
    <row r="226" spans="2:14" s="88" customFormat="1" ht="38.25" customHeight="1">
      <c r="B226" s="236" t="s">
        <v>622</v>
      </c>
      <c r="C226" s="214" t="s">
        <v>474</v>
      </c>
      <c r="D226" s="237" t="s">
        <v>72</v>
      </c>
      <c r="E226" s="306" t="s">
        <v>683</v>
      </c>
      <c r="F226" s="307">
        <v>1</v>
      </c>
      <c r="G226" s="308">
        <v>170.14</v>
      </c>
      <c r="H226" s="67">
        <f t="shared" si="115"/>
        <v>217.14</v>
      </c>
      <c r="I226" s="309">
        <f t="shared" si="116"/>
        <v>217.14</v>
      </c>
      <c r="J226" s="310">
        <v>0</v>
      </c>
      <c r="K226" s="311" t="e">
        <f>(J226*#REF!)</f>
        <v>#REF!</v>
      </c>
      <c r="L226" s="312"/>
      <c r="N226" s="89"/>
    </row>
    <row r="227" spans="2:14" s="88" customFormat="1" ht="34.5" customHeight="1">
      <c r="B227" s="236" t="s">
        <v>623</v>
      </c>
      <c r="C227" s="214" t="s">
        <v>476</v>
      </c>
      <c r="D227" s="237" t="s">
        <v>72</v>
      </c>
      <c r="E227" s="306" t="s">
        <v>684</v>
      </c>
      <c r="F227" s="307">
        <v>36</v>
      </c>
      <c r="G227" s="308">
        <v>193.66</v>
      </c>
      <c r="H227" s="67">
        <f t="shared" si="115"/>
        <v>247.16</v>
      </c>
      <c r="I227" s="309">
        <f t="shared" si="116"/>
        <v>8897.76</v>
      </c>
      <c r="J227" s="310"/>
      <c r="K227" s="311"/>
      <c r="L227" s="312"/>
      <c r="N227" s="89"/>
    </row>
    <row r="228" spans="2:14" s="88" customFormat="1" ht="58.5" customHeight="1">
      <c r="B228" s="236" t="s">
        <v>624</v>
      </c>
      <c r="C228" s="214" t="s">
        <v>479</v>
      </c>
      <c r="D228" s="190" t="s">
        <v>72</v>
      </c>
      <c r="E228" s="306" t="s">
        <v>478</v>
      </c>
      <c r="F228" s="65">
        <v>1</v>
      </c>
      <c r="G228" s="66">
        <v>657.32</v>
      </c>
      <c r="H228" s="67">
        <f t="shared" si="115"/>
        <v>838.93</v>
      </c>
      <c r="I228" s="67">
        <f t="shared" si="116"/>
        <v>838.93</v>
      </c>
      <c r="J228" s="101">
        <v>0</v>
      </c>
      <c r="K228" s="102" t="e">
        <f>(J228*#REF!)</f>
        <v>#REF!</v>
      </c>
      <c r="L228" s="80"/>
      <c r="N228" s="89"/>
    </row>
    <row r="229" spans="2:14" s="1" customFormat="1" ht="12.75" customHeight="1">
      <c r="B229" s="374" t="s">
        <v>6</v>
      </c>
      <c r="C229" s="375"/>
      <c r="D229" s="375"/>
      <c r="E229" s="375"/>
      <c r="F229" s="376"/>
      <c r="G229" s="377">
        <f>(100%)</f>
        <v>1</v>
      </c>
      <c r="H229" s="378"/>
      <c r="I229" s="151">
        <f>SUM(I199:I228)</f>
        <v>28282.85</v>
      </c>
      <c r="J229" s="99" t="e">
        <f>(K229/#REF!)</f>
        <v>#REF!</v>
      </c>
      <c r="K229" s="100" t="e">
        <f>SUM(K200:K228)</f>
        <v>#REF!</v>
      </c>
      <c r="L229" s="58"/>
      <c r="N229" s="6"/>
    </row>
    <row r="230" spans="2:14" s="88" customFormat="1" ht="16.5" customHeight="1">
      <c r="B230" s="150">
        <v>15</v>
      </c>
      <c r="C230" s="17" t="s">
        <v>575</v>
      </c>
      <c r="D230" s="381"/>
      <c r="E230" s="381"/>
      <c r="F230" s="381"/>
      <c r="G230" s="381"/>
      <c r="H230" s="381"/>
      <c r="I230" s="382"/>
      <c r="J230" s="312"/>
      <c r="K230" s="312"/>
      <c r="L230" s="87"/>
      <c r="N230" s="89"/>
    </row>
    <row r="231" spans="2:14" s="88" customFormat="1" ht="36" customHeight="1">
      <c r="B231" s="236" t="s">
        <v>555</v>
      </c>
      <c r="C231" s="214" t="s">
        <v>576</v>
      </c>
      <c r="D231" s="237" t="s">
        <v>72</v>
      </c>
      <c r="E231" s="306" t="s">
        <v>577</v>
      </c>
      <c r="F231" s="307">
        <v>2</v>
      </c>
      <c r="G231" s="308">
        <v>152.26</v>
      </c>
      <c r="H231" s="67">
        <f t="shared" ref="H231:H232" si="133">TRUNC(G231*(1+$H$13),2)</f>
        <v>194.32</v>
      </c>
      <c r="I231" s="309">
        <f>TRUNC(H231*F231,2)</f>
        <v>388.64</v>
      </c>
      <c r="J231" s="310">
        <v>0</v>
      </c>
      <c r="K231" s="311" t="e">
        <f>(J231*#REF!)</f>
        <v>#REF!</v>
      </c>
      <c r="L231" s="312"/>
      <c r="N231" s="89"/>
    </row>
    <row r="232" spans="2:14" s="88" customFormat="1" ht="36" customHeight="1">
      <c r="B232" s="236" t="s">
        <v>557</v>
      </c>
      <c r="C232" s="214" t="s">
        <v>578</v>
      </c>
      <c r="D232" s="237" t="s">
        <v>72</v>
      </c>
      <c r="E232" s="306">
        <v>83635</v>
      </c>
      <c r="F232" s="307">
        <v>3</v>
      </c>
      <c r="G232" s="308">
        <v>171.75</v>
      </c>
      <c r="H232" s="67">
        <f t="shared" si="133"/>
        <v>219.2</v>
      </c>
      <c r="I232" s="309">
        <f>TRUNC(H232*F232,2)</f>
        <v>657.6</v>
      </c>
      <c r="J232" s="310">
        <v>0</v>
      </c>
      <c r="K232" s="311" t="e">
        <f>(J232*#REF!)</f>
        <v>#REF!</v>
      </c>
      <c r="L232" s="312"/>
      <c r="N232" s="89"/>
    </row>
    <row r="233" spans="2:14" s="1" customFormat="1" ht="12.75" customHeight="1">
      <c r="B233" s="374" t="s">
        <v>6</v>
      </c>
      <c r="C233" s="375"/>
      <c r="D233" s="375"/>
      <c r="E233" s="375"/>
      <c r="F233" s="376"/>
      <c r="G233" s="377">
        <f>(100%)</f>
        <v>1</v>
      </c>
      <c r="H233" s="378"/>
      <c r="I233" s="151">
        <f>SUM(I231:I232)</f>
        <v>1046.24</v>
      </c>
      <c r="J233" s="99" t="e">
        <f>(K233/#REF!)</f>
        <v>#REF!</v>
      </c>
      <c r="K233" s="100" t="e">
        <f>SUM(K212:K231)</f>
        <v>#REF!</v>
      </c>
      <c r="L233" s="58"/>
      <c r="N233" s="6"/>
    </row>
    <row r="234" spans="2:14">
      <c r="B234" s="150">
        <v>16</v>
      </c>
      <c r="C234" s="194" t="s">
        <v>156</v>
      </c>
      <c r="D234" s="383"/>
      <c r="E234" s="381"/>
      <c r="F234" s="381"/>
      <c r="G234" s="381"/>
      <c r="H234" s="381"/>
      <c r="I234" s="382"/>
      <c r="J234" s="64"/>
      <c r="K234" s="64"/>
      <c r="L234" s="60"/>
    </row>
    <row r="235" spans="2:14" s="88" customFormat="1" ht="18.75" customHeight="1">
      <c r="B235" s="236" t="s">
        <v>625</v>
      </c>
      <c r="C235" s="63" t="s">
        <v>29</v>
      </c>
      <c r="D235" s="190" t="s">
        <v>86</v>
      </c>
      <c r="E235" s="188">
        <v>9537</v>
      </c>
      <c r="F235" s="65">
        <v>74.48</v>
      </c>
      <c r="G235" s="66">
        <v>2.14</v>
      </c>
      <c r="H235" s="67">
        <f t="shared" ref="H235" si="134">TRUNC(G235*(1+$H$13),2)</f>
        <v>2.73</v>
      </c>
      <c r="I235" s="67">
        <f t="shared" ref="I235" si="135">TRUNC(H235*F235,2)</f>
        <v>203.33</v>
      </c>
      <c r="J235" s="101">
        <v>0</v>
      </c>
      <c r="K235" s="102" t="e">
        <f>(J235*#REF!)</f>
        <v>#REF!</v>
      </c>
      <c r="L235" s="80"/>
      <c r="N235" s="89"/>
    </row>
    <row r="236" spans="2:14" s="1" customFormat="1" ht="12.75" customHeight="1" thickBot="1">
      <c r="B236" s="387" t="s">
        <v>6</v>
      </c>
      <c r="C236" s="388"/>
      <c r="D236" s="388"/>
      <c r="E236" s="388"/>
      <c r="F236" s="389"/>
      <c r="G236" s="377">
        <f>(100%)</f>
        <v>1</v>
      </c>
      <c r="H236" s="378"/>
      <c r="I236" s="202">
        <f>SUM(I235:I235)</f>
        <v>203.33</v>
      </c>
      <c r="J236" s="99" t="e">
        <f>(K236/#REF!)</f>
        <v>#REF!</v>
      </c>
      <c r="K236" s="100" t="e">
        <f>SUM(K235:K235)</f>
        <v>#REF!</v>
      </c>
      <c r="L236" s="58"/>
      <c r="N236" s="6"/>
    </row>
    <row r="237" spans="2:14" ht="15.75" customHeight="1" thickBot="1">
      <c r="B237" s="390" t="s">
        <v>87</v>
      </c>
      <c r="C237" s="391"/>
      <c r="D237" s="391"/>
      <c r="E237" s="391"/>
      <c r="F237" s="391"/>
      <c r="G237" s="391"/>
      <c r="H237" s="392"/>
      <c r="I237" s="203">
        <f>SUM(I21,I27,I39,I53,I56,I64,I73,I82,I86,I101,I111,I126,I197,I229,I233,I236)</f>
        <v>625725.08999999985</v>
      </c>
      <c r="J237" s="106"/>
      <c r="K237" s="106" t="s">
        <v>32</v>
      </c>
      <c r="L237" s="61"/>
    </row>
    <row r="238" spans="2:14" ht="19.5" customHeight="1">
      <c r="B238" s="384" t="s">
        <v>685</v>
      </c>
      <c r="C238" s="385"/>
      <c r="D238" s="385"/>
      <c r="E238" s="385"/>
      <c r="F238" s="385"/>
      <c r="G238" s="385"/>
      <c r="H238" s="385"/>
      <c r="I238" s="386"/>
      <c r="J238" s="107"/>
      <c r="K238" s="107"/>
      <c r="L238" s="62"/>
    </row>
    <row r="239" spans="2:14" ht="30" customHeight="1">
      <c r="B239" s="447" t="s">
        <v>261</v>
      </c>
      <c r="C239" s="448"/>
      <c r="D239" s="448"/>
      <c r="E239" s="448"/>
      <c r="F239" s="448"/>
      <c r="G239" s="448"/>
      <c r="H239" s="448"/>
      <c r="I239" s="449"/>
      <c r="J239" s="90"/>
      <c r="K239" s="90"/>
      <c r="L239" s="90"/>
    </row>
    <row r="240" spans="2:14" ht="5.25" customHeight="1">
      <c r="B240" s="12"/>
      <c r="C240" s="12"/>
      <c r="D240" s="13"/>
      <c r="E240" s="14"/>
      <c r="F240" s="14"/>
      <c r="G240" s="11"/>
      <c r="H240" s="12"/>
      <c r="I240" s="12"/>
      <c r="J240" s="12"/>
      <c r="K240" s="12"/>
      <c r="L240" s="12"/>
    </row>
    <row r="241" spans="2:12">
      <c r="B241" s="12"/>
      <c r="C241" s="12"/>
      <c r="D241" s="13"/>
      <c r="E241" s="14"/>
      <c r="F241" s="14"/>
      <c r="G241" s="11"/>
      <c r="H241" s="12"/>
      <c r="I241" s="12"/>
      <c r="J241" s="12"/>
      <c r="K241" s="12"/>
      <c r="L241" s="12"/>
    </row>
    <row r="242" spans="2:12">
      <c r="B242" s="12"/>
      <c r="C242" s="12"/>
      <c r="D242" s="13"/>
      <c r="E242" s="14"/>
      <c r="F242" s="14"/>
      <c r="G242" s="11"/>
      <c r="H242" s="12"/>
      <c r="I242" s="12"/>
      <c r="J242" s="12"/>
      <c r="K242" s="12"/>
      <c r="L242" s="12"/>
    </row>
    <row r="243" spans="2:12">
      <c r="B243" s="12"/>
      <c r="C243" s="12"/>
      <c r="D243" s="13"/>
      <c r="E243" s="14"/>
      <c r="F243" s="14"/>
      <c r="G243" s="11"/>
      <c r="H243" s="12"/>
      <c r="I243" s="12"/>
      <c r="J243" s="12"/>
      <c r="K243" s="12"/>
      <c r="L243" s="12"/>
    </row>
    <row r="244" spans="2:12">
      <c r="B244" s="12"/>
      <c r="C244" s="12"/>
      <c r="D244" s="13"/>
      <c r="E244" s="14"/>
      <c r="F244" s="14"/>
      <c r="G244" s="11"/>
      <c r="H244" s="12"/>
      <c r="I244" s="12"/>
      <c r="J244" s="12"/>
      <c r="K244" s="12"/>
      <c r="L244" s="12"/>
    </row>
    <row r="245" spans="2:12">
      <c r="B245" s="12"/>
      <c r="C245" s="12"/>
      <c r="D245" s="13"/>
      <c r="E245" s="14"/>
      <c r="F245" s="14"/>
      <c r="G245" s="11"/>
      <c r="H245" s="12"/>
      <c r="I245" s="12"/>
      <c r="J245" s="12"/>
      <c r="K245" s="12"/>
      <c r="L245" s="12"/>
    </row>
    <row r="246" spans="2:12">
      <c r="B246" s="12"/>
      <c r="C246" s="12"/>
      <c r="D246" s="13"/>
      <c r="E246" s="14"/>
      <c r="F246" s="14"/>
      <c r="G246" s="11"/>
      <c r="H246" s="12"/>
      <c r="I246" s="12"/>
      <c r="J246" s="12"/>
      <c r="K246" s="12"/>
      <c r="L246" s="12"/>
    </row>
    <row r="247" spans="2:12">
      <c r="B247" s="12"/>
      <c r="C247" s="12"/>
      <c r="D247" s="13"/>
      <c r="E247" s="14"/>
      <c r="F247" s="14"/>
      <c r="G247" s="11"/>
      <c r="H247" s="12"/>
      <c r="I247" s="12"/>
      <c r="J247" s="12"/>
      <c r="K247" s="12"/>
      <c r="L247" s="12"/>
    </row>
    <row r="248" spans="2:12">
      <c r="B248" s="12"/>
      <c r="C248" s="12"/>
      <c r="D248" s="13"/>
      <c r="E248" s="14"/>
      <c r="F248" s="14"/>
      <c r="G248" s="11"/>
      <c r="H248" s="12"/>
      <c r="I248" s="12"/>
      <c r="J248" s="12"/>
      <c r="K248" s="12"/>
      <c r="L248" s="12"/>
    </row>
    <row r="249" spans="2:12">
      <c r="B249" s="12"/>
      <c r="C249" s="12"/>
      <c r="D249" s="13"/>
      <c r="E249" s="14"/>
      <c r="F249" s="14"/>
      <c r="G249" s="11"/>
      <c r="H249" s="12"/>
      <c r="I249" s="12"/>
    </row>
  </sheetData>
  <mergeCells count="78">
    <mergeCell ref="B239:I239"/>
    <mergeCell ref="N16:P16"/>
    <mergeCell ref="D57:I57"/>
    <mergeCell ref="G27:H27"/>
    <mergeCell ref="B101:F101"/>
    <mergeCell ref="B73:F73"/>
    <mergeCell ref="D74:I74"/>
    <mergeCell ref="B82:F82"/>
    <mergeCell ref="G64:H64"/>
    <mergeCell ref="G56:H56"/>
    <mergeCell ref="D54:I54"/>
    <mergeCell ref="G39:H39"/>
    <mergeCell ref="B39:F39"/>
    <mergeCell ref="D40:I40"/>
    <mergeCell ref="G82:H82"/>
    <mergeCell ref="B64:F64"/>
    <mergeCell ref="N14:P14"/>
    <mergeCell ref="J14:K14"/>
    <mergeCell ref="G126:H126"/>
    <mergeCell ref="G101:H101"/>
    <mergeCell ref="J10:K10"/>
    <mergeCell ref="N13:P13"/>
    <mergeCell ref="G73:H73"/>
    <mergeCell ref="D65:I65"/>
    <mergeCell ref="J11:K11"/>
    <mergeCell ref="J13:K13"/>
    <mergeCell ref="C83:I83"/>
    <mergeCell ref="B86:F86"/>
    <mergeCell ref="G86:H86"/>
    <mergeCell ref="C122:I122"/>
    <mergeCell ref="B126:F126"/>
    <mergeCell ref="G111:H111"/>
    <mergeCell ref="J7:K7"/>
    <mergeCell ref="F10:F12"/>
    <mergeCell ref="D10:D12"/>
    <mergeCell ref="E10:E12"/>
    <mergeCell ref="J8:K8"/>
    <mergeCell ref="B8:I8"/>
    <mergeCell ref="J9:K9"/>
    <mergeCell ref="B9:G9"/>
    <mergeCell ref="H9:I9"/>
    <mergeCell ref="B56:F56"/>
    <mergeCell ref="G21:H21"/>
    <mergeCell ref="B21:F21"/>
    <mergeCell ref="B27:F27"/>
    <mergeCell ref="D28:I28"/>
    <mergeCell ref="G53:H53"/>
    <mergeCell ref="B53:F53"/>
    <mergeCell ref="B2:I2"/>
    <mergeCell ref="D22:I22"/>
    <mergeCell ref="B10:B12"/>
    <mergeCell ref="G10:I11"/>
    <mergeCell ref="B5:I5"/>
    <mergeCell ref="B6:I6"/>
    <mergeCell ref="B3:I3"/>
    <mergeCell ref="B7:G7"/>
    <mergeCell ref="H7:I7"/>
    <mergeCell ref="C10:C12"/>
    <mergeCell ref="B111:F111"/>
    <mergeCell ref="D127:I127"/>
    <mergeCell ref="B238:I238"/>
    <mergeCell ref="B236:F236"/>
    <mergeCell ref="G236:H236"/>
    <mergeCell ref="B237:H237"/>
    <mergeCell ref="B229:F229"/>
    <mergeCell ref="G229:H229"/>
    <mergeCell ref="D234:I234"/>
    <mergeCell ref="D198:I198"/>
    <mergeCell ref="B161:C161"/>
    <mergeCell ref="B197:F197"/>
    <mergeCell ref="G197:H197"/>
    <mergeCell ref="B128:C128"/>
    <mergeCell ref="B186:C186"/>
    <mergeCell ref="B233:F233"/>
    <mergeCell ref="G233:H233"/>
    <mergeCell ref="B183:C183"/>
    <mergeCell ref="D230:I230"/>
    <mergeCell ref="D112:I112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5" orientation="landscape" r:id="rId1"/>
  <headerFooter alignWithMargins="0">
    <oddFooter>&amp;LSanto Antonio do Leste&amp;C12  de novembro de 2018&amp;RMato Grosso, Brasil</oddFooter>
  </headerFooter>
  <rowBreaks count="1" manualBreakCount="1">
    <brk id="197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showGridLines="0" workbookViewId="0">
      <selection activeCell="I7" sqref="I7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19"/>
      <c r="B2" s="177"/>
      <c r="C2" s="171"/>
      <c r="D2" s="171"/>
      <c r="E2" s="180"/>
      <c r="F2" s="19"/>
    </row>
    <row r="3" spans="1:6" ht="24" customHeight="1">
      <c r="A3" s="19"/>
      <c r="B3" s="468" t="s">
        <v>18</v>
      </c>
      <c r="C3" s="469"/>
      <c r="D3" s="469"/>
      <c r="E3" s="470"/>
      <c r="F3" s="19"/>
    </row>
    <row r="4" spans="1:6">
      <c r="A4" s="19"/>
      <c r="B4" s="554" t="s">
        <v>688</v>
      </c>
      <c r="C4" s="555"/>
      <c r="D4" s="555"/>
      <c r="E4" s="556"/>
      <c r="F4" s="19"/>
    </row>
    <row r="5" spans="1:6" ht="14.25" customHeight="1">
      <c r="A5" s="19"/>
      <c r="B5" s="473" t="s">
        <v>627</v>
      </c>
      <c r="C5" s="474"/>
      <c r="D5" s="474"/>
      <c r="E5" s="475"/>
      <c r="F5" s="19"/>
    </row>
    <row r="6" spans="1:6" ht="16.5" customHeight="1">
      <c r="A6" s="19"/>
      <c r="B6" s="456" t="s">
        <v>628</v>
      </c>
      <c r="C6" s="457"/>
      <c r="D6" s="457"/>
      <c r="E6" s="458"/>
      <c r="F6" s="19"/>
    </row>
    <row r="7" spans="1:6" ht="21" customHeight="1" thickBot="1">
      <c r="A7" s="19"/>
      <c r="B7" s="476" t="str">
        <f>ORCAMENTO!H9</f>
        <v>DATA:24/10/2018</v>
      </c>
      <c r="C7" s="477"/>
      <c r="D7" s="20"/>
      <c r="E7" s="339" t="str">
        <f>ORCAMENTO!H7</f>
        <v>B.D.I: 27,63%</v>
      </c>
      <c r="F7" s="176"/>
    </row>
    <row r="8" spans="1:6" ht="6.75" customHeight="1">
      <c r="A8" s="19"/>
      <c r="B8" s="179"/>
      <c r="C8" s="172"/>
      <c r="D8" s="172"/>
      <c r="E8" s="172"/>
      <c r="F8" s="19"/>
    </row>
    <row r="9" spans="1:6">
      <c r="A9" s="19"/>
      <c r="B9" s="471" t="s">
        <v>19</v>
      </c>
      <c r="C9" s="471" t="s">
        <v>7</v>
      </c>
      <c r="D9" s="471" t="s">
        <v>8</v>
      </c>
      <c r="E9" s="181" t="s">
        <v>9</v>
      </c>
      <c r="F9" s="19"/>
    </row>
    <row r="10" spans="1:6">
      <c r="A10" s="19"/>
      <c r="B10" s="471"/>
      <c r="C10" s="471"/>
      <c r="D10" s="471"/>
      <c r="E10" s="181" t="s">
        <v>10</v>
      </c>
      <c r="F10" s="19"/>
    </row>
    <row r="11" spans="1:6">
      <c r="A11" s="19"/>
      <c r="B11" s="452">
        <v>1</v>
      </c>
      <c r="C11" s="453" t="s">
        <v>20</v>
      </c>
      <c r="D11" s="454">
        <f>E11/$E$53</f>
        <v>3.6503139102189441E-2</v>
      </c>
      <c r="E11" s="472">
        <f>ORCAMENTO!I21</f>
        <v>22840.930000000004</v>
      </c>
      <c r="F11" s="19"/>
    </row>
    <row r="12" spans="1:6">
      <c r="A12" s="19"/>
      <c r="B12" s="452"/>
      <c r="C12" s="453"/>
      <c r="D12" s="454"/>
      <c r="E12" s="472"/>
      <c r="F12" s="19"/>
    </row>
    <row r="13" spans="1:6" ht="5.25" hidden="1" customHeight="1">
      <c r="A13" s="19"/>
      <c r="B13" s="452"/>
      <c r="C13" s="453"/>
      <c r="D13" s="454"/>
      <c r="E13" s="472"/>
      <c r="F13" s="19"/>
    </row>
    <row r="14" spans="1:6">
      <c r="A14" s="19"/>
      <c r="B14" s="452">
        <v>2</v>
      </c>
      <c r="C14" s="453" t="s">
        <v>21</v>
      </c>
      <c r="D14" s="454">
        <f>E14/$E$53</f>
        <v>7.6838056789444087E-3</v>
      </c>
      <c r="E14" s="455">
        <f>ORCAMENTO!I27</f>
        <v>4807.95</v>
      </c>
      <c r="F14" s="19"/>
    </row>
    <row r="15" spans="1:6">
      <c r="A15" s="19"/>
      <c r="B15" s="452"/>
      <c r="C15" s="453"/>
      <c r="D15" s="454"/>
      <c r="E15" s="455"/>
      <c r="F15" s="19"/>
    </row>
    <row r="16" spans="1:6">
      <c r="A16" s="19"/>
      <c r="B16" s="452">
        <v>3</v>
      </c>
      <c r="C16" s="453" t="s">
        <v>74</v>
      </c>
      <c r="D16" s="454">
        <f>E16/$E$53</f>
        <v>5.5609469008186967E-2</v>
      </c>
      <c r="E16" s="455">
        <f>ORCAMENTO!I39</f>
        <v>34796.239999999991</v>
      </c>
      <c r="F16" s="19"/>
    </row>
    <row r="17" spans="1:9">
      <c r="A17" s="19"/>
      <c r="B17" s="452"/>
      <c r="C17" s="453"/>
      <c r="D17" s="454"/>
      <c r="E17" s="455"/>
      <c r="F17" s="19"/>
    </row>
    <row r="18" spans="1:9" ht="3.75" customHeight="1">
      <c r="A18" s="19"/>
      <c r="B18" s="452"/>
      <c r="C18" s="453"/>
      <c r="D18" s="454"/>
      <c r="E18" s="455"/>
      <c r="F18" s="19"/>
    </row>
    <row r="19" spans="1:9">
      <c r="A19" s="19"/>
      <c r="B19" s="452">
        <v>4</v>
      </c>
      <c r="C19" s="461" t="s">
        <v>26</v>
      </c>
      <c r="D19" s="454">
        <f>E19/$E$53</f>
        <v>0.14325527525194814</v>
      </c>
      <c r="E19" s="455">
        <f>ORCAMENTO!I53</f>
        <v>89638.42</v>
      </c>
      <c r="F19" s="19"/>
    </row>
    <row r="20" spans="1:9">
      <c r="A20" s="19"/>
      <c r="B20" s="452"/>
      <c r="C20" s="461"/>
      <c r="D20" s="454"/>
      <c r="E20" s="455"/>
      <c r="F20" s="19"/>
      <c r="I20" s="53"/>
    </row>
    <row r="21" spans="1:9" ht="4.5" customHeight="1">
      <c r="A21" s="19"/>
      <c r="B21" s="452"/>
      <c r="C21" s="461"/>
      <c r="D21" s="454"/>
      <c r="E21" s="455"/>
      <c r="F21" s="19"/>
    </row>
    <row r="22" spans="1:9" ht="13.5" customHeight="1">
      <c r="A22" s="19"/>
      <c r="B22" s="452">
        <v>5</v>
      </c>
      <c r="C22" s="453" t="s">
        <v>75</v>
      </c>
      <c r="D22" s="454">
        <f>E22/$E$53</f>
        <v>3.2414554449143162E-3</v>
      </c>
      <c r="E22" s="455">
        <f>ORCAMENTO!I56</f>
        <v>2028.26</v>
      </c>
      <c r="F22" s="19"/>
    </row>
    <row r="23" spans="1:9">
      <c r="A23" s="19"/>
      <c r="B23" s="452"/>
      <c r="C23" s="453"/>
      <c r="D23" s="454"/>
      <c r="E23" s="455"/>
      <c r="F23" s="19"/>
    </row>
    <row r="24" spans="1:9" ht="5.25" customHeight="1">
      <c r="A24" s="19"/>
      <c r="B24" s="452"/>
      <c r="C24" s="453"/>
      <c r="D24" s="454"/>
      <c r="E24" s="455"/>
      <c r="F24" s="19"/>
    </row>
    <row r="25" spans="1:9">
      <c r="A25" s="19"/>
      <c r="B25" s="462">
        <v>6</v>
      </c>
      <c r="C25" s="461" t="s">
        <v>76</v>
      </c>
      <c r="D25" s="454">
        <f>E25/$E$53</f>
        <v>0.12385731567835968</v>
      </c>
      <c r="E25" s="455">
        <f>(ORCAMENTO!I64)</f>
        <v>77500.63</v>
      </c>
      <c r="F25" s="19"/>
    </row>
    <row r="26" spans="1:9">
      <c r="A26" s="19"/>
      <c r="B26" s="462"/>
      <c r="C26" s="461"/>
      <c r="D26" s="454"/>
      <c r="E26" s="455"/>
      <c r="F26" s="19"/>
    </row>
    <row r="27" spans="1:9" ht="6" customHeight="1">
      <c r="A27" s="19"/>
      <c r="B27" s="462"/>
      <c r="C27" s="461"/>
      <c r="D27" s="454"/>
      <c r="E27" s="455"/>
      <c r="F27" s="19"/>
    </row>
    <row r="28" spans="1:9">
      <c r="A28" s="19"/>
      <c r="B28" s="465">
        <v>7</v>
      </c>
      <c r="C28" s="466" t="s">
        <v>77</v>
      </c>
      <c r="D28" s="454">
        <f>E28/$E$53</f>
        <v>9.7075634285337692E-2</v>
      </c>
      <c r="E28" s="455">
        <f>(ORCAMENTO!I73)</f>
        <v>60742.659999999996</v>
      </c>
      <c r="F28" s="19"/>
    </row>
    <row r="29" spans="1:9" ht="11.25" customHeight="1">
      <c r="A29" s="19"/>
      <c r="B29" s="480"/>
      <c r="C29" s="478"/>
      <c r="D29" s="454"/>
      <c r="E29" s="455"/>
      <c r="F29" s="19"/>
    </row>
    <row r="30" spans="1:9" ht="6.75" customHeight="1">
      <c r="A30" s="19"/>
      <c r="B30" s="481"/>
      <c r="C30" s="479"/>
      <c r="D30" s="454"/>
      <c r="E30" s="455"/>
      <c r="F30" s="19"/>
    </row>
    <row r="31" spans="1:9">
      <c r="A31" s="19"/>
      <c r="B31" s="452">
        <v>8</v>
      </c>
      <c r="C31" s="453" t="s">
        <v>78</v>
      </c>
      <c r="D31" s="454">
        <f>E31/$E$53</f>
        <v>0.11167027040581035</v>
      </c>
      <c r="E31" s="455">
        <f>(ORCAMENTO!I82)</f>
        <v>69874.89</v>
      </c>
      <c r="F31" s="19"/>
    </row>
    <row r="32" spans="1:9" ht="19.5" customHeight="1">
      <c r="A32" s="19"/>
      <c r="B32" s="452"/>
      <c r="C32" s="453"/>
      <c r="D32" s="454"/>
      <c r="E32" s="455"/>
      <c r="F32" s="19"/>
    </row>
    <row r="33" spans="1:6" ht="19.5" customHeight="1">
      <c r="A33" s="19"/>
      <c r="B33" s="465">
        <v>9</v>
      </c>
      <c r="C33" s="466" t="s">
        <v>377</v>
      </c>
      <c r="D33" s="454">
        <f>E33/$E$53</f>
        <v>2.2044409310804532E-2</v>
      </c>
      <c r="E33" s="459">
        <f>ORCAMENTO!I86</f>
        <v>13793.740000000002</v>
      </c>
      <c r="F33" s="19"/>
    </row>
    <row r="34" spans="1:6" ht="19.5" customHeight="1">
      <c r="A34" s="19"/>
      <c r="B34" s="481"/>
      <c r="C34" s="479"/>
      <c r="D34" s="454"/>
      <c r="E34" s="460"/>
      <c r="F34" s="19"/>
    </row>
    <row r="35" spans="1:6">
      <c r="A35" s="19"/>
      <c r="B35" s="452">
        <v>10</v>
      </c>
      <c r="C35" s="453" t="s">
        <v>79</v>
      </c>
      <c r="D35" s="454">
        <f>E35/$E$53</f>
        <v>5.3405641765140024E-2</v>
      </c>
      <c r="E35" s="455">
        <f>(ORCAMENTO!I101)</f>
        <v>33417.249999999993</v>
      </c>
      <c r="F35" s="19"/>
    </row>
    <row r="36" spans="1:6" ht="19.5" customHeight="1">
      <c r="A36" s="19"/>
      <c r="B36" s="452"/>
      <c r="C36" s="453"/>
      <c r="D36" s="454"/>
      <c r="E36" s="455"/>
      <c r="F36" s="19"/>
    </row>
    <row r="37" spans="1:6">
      <c r="A37" s="19"/>
      <c r="B37" s="452">
        <v>11</v>
      </c>
      <c r="C37" s="453" t="s">
        <v>27</v>
      </c>
      <c r="D37" s="454">
        <f>E37/$E$53</f>
        <v>0.12486902195339494</v>
      </c>
      <c r="E37" s="455">
        <f>(ORCAMENTO!I111)</f>
        <v>78133.680000000008</v>
      </c>
      <c r="F37" s="19"/>
    </row>
    <row r="38" spans="1:6" ht="20.25" customHeight="1">
      <c r="A38" s="19"/>
      <c r="B38" s="452"/>
      <c r="C38" s="453"/>
      <c r="D38" s="454"/>
      <c r="E38" s="455"/>
      <c r="F38" s="19"/>
    </row>
    <row r="39" spans="1:6">
      <c r="A39" s="19"/>
      <c r="B39" s="452">
        <v>12</v>
      </c>
      <c r="C39" s="453" t="s">
        <v>80</v>
      </c>
      <c r="D39" s="454">
        <f>E39/$E$53</f>
        <v>7.9788266121788423E-2</v>
      </c>
      <c r="E39" s="455">
        <f>(ORCAMENTO!I126)</f>
        <v>49925.520000000004</v>
      </c>
      <c r="F39" s="19"/>
    </row>
    <row r="40" spans="1:6" ht="18" customHeight="1">
      <c r="A40" s="19"/>
      <c r="B40" s="452"/>
      <c r="C40" s="453"/>
      <c r="D40" s="454"/>
      <c r="E40" s="455"/>
      <c r="F40" s="19"/>
    </row>
    <row r="41" spans="1:6">
      <c r="A41" s="19"/>
      <c r="B41" s="452">
        <v>13</v>
      </c>
      <c r="C41" s="453" t="s">
        <v>81</v>
      </c>
      <c r="D41" s="454">
        <f>E41/$E$53</f>
        <v>9.3799179444762279E-2</v>
      </c>
      <c r="E41" s="455">
        <f>(ORCAMENTO!I197)</f>
        <v>58692.500000000015</v>
      </c>
      <c r="F41" s="19"/>
    </row>
    <row r="42" spans="1:6">
      <c r="A42" s="19"/>
      <c r="B42" s="452"/>
      <c r="C42" s="453"/>
      <c r="D42" s="454"/>
      <c r="E42" s="455"/>
      <c r="F42" s="19"/>
    </row>
    <row r="43" spans="1:6">
      <c r="A43" s="19"/>
      <c r="B43" s="452"/>
      <c r="C43" s="453"/>
      <c r="D43" s="454"/>
      <c r="E43" s="455"/>
      <c r="F43" s="19"/>
    </row>
    <row r="44" spans="1:6">
      <c r="A44" s="19"/>
      <c r="B44" s="452">
        <v>14</v>
      </c>
      <c r="C44" s="453" t="s">
        <v>116</v>
      </c>
      <c r="D44" s="454">
        <f>E44/$E$53</f>
        <v>4.5200121350416053E-2</v>
      </c>
      <c r="E44" s="455">
        <f>(ORCAMENTO!I229)</f>
        <v>28282.85</v>
      </c>
      <c r="F44" s="19"/>
    </row>
    <row r="45" spans="1:6">
      <c r="A45" s="19"/>
      <c r="B45" s="452"/>
      <c r="C45" s="453"/>
      <c r="D45" s="454"/>
      <c r="E45" s="455"/>
      <c r="F45" s="19"/>
    </row>
    <row r="46" spans="1:6">
      <c r="A46" s="19"/>
      <c r="B46" s="452"/>
      <c r="C46" s="453"/>
      <c r="D46" s="454"/>
      <c r="E46" s="455"/>
      <c r="F46" s="19"/>
    </row>
    <row r="47" spans="1:6">
      <c r="A47" s="19"/>
      <c r="B47" s="452">
        <v>14</v>
      </c>
      <c r="C47" s="453" t="s">
        <v>626</v>
      </c>
      <c r="D47" s="454">
        <f>E47/$E$53</f>
        <v>1.672044187967595E-3</v>
      </c>
      <c r="E47" s="455">
        <v>1046.24</v>
      </c>
      <c r="F47" s="19"/>
    </row>
    <row r="48" spans="1:6">
      <c r="A48" s="19"/>
      <c r="B48" s="452"/>
      <c r="C48" s="453"/>
      <c r="D48" s="454"/>
      <c r="E48" s="455"/>
      <c r="F48" s="19"/>
    </row>
    <row r="49" spans="1:6">
      <c r="A49" s="19"/>
      <c r="B49" s="452"/>
      <c r="C49" s="453"/>
      <c r="D49" s="454"/>
      <c r="E49" s="455"/>
      <c r="F49" s="19"/>
    </row>
    <row r="50" spans="1:6">
      <c r="A50" s="19"/>
      <c r="B50" s="452">
        <v>15</v>
      </c>
      <c r="C50" s="453" t="s">
        <v>155</v>
      </c>
      <c r="D50" s="454">
        <f>E50/$E$53</f>
        <v>3.2495101003541355E-4</v>
      </c>
      <c r="E50" s="455">
        <f>(ORCAMENTO!I236)</f>
        <v>203.33</v>
      </c>
      <c r="F50" s="19"/>
    </row>
    <row r="51" spans="1:6">
      <c r="A51" s="19"/>
      <c r="B51" s="452"/>
      <c r="C51" s="453"/>
      <c r="D51" s="454"/>
      <c r="E51" s="455"/>
      <c r="F51" s="19"/>
    </row>
    <row r="52" spans="1:6" ht="13.8" thickBot="1">
      <c r="A52" s="19"/>
      <c r="B52" s="465"/>
      <c r="C52" s="466"/>
      <c r="D52" s="467"/>
      <c r="E52" s="459"/>
      <c r="F52" s="19"/>
    </row>
    <row r="53" spans="1:6">
      <c r="A53" s="19"/>
      <c r="B53" s="463" t="s">
        <v>17</v>
      </c>
      <c r="C53" s="464"/>
      <c r="D53" s="184">
        <f>SUM(D11:D52)</f>
        <v>1.0000000000000002</v>
      </c>
      <c r="E53" s="182">
        <f>SUM(E11:E52)</f>
        <v>625725.08999999985</v>
      </c>
      <c r="F53" s="19"/>
    </row>
    <row r="54" spans="1:6" ht="5.25" customHeight="1" thickBot="1">
      <c r="A54" s="19"/>
      <c r="B54" s="178"/>
      <c r="C54" s="20"/>
      <c r="D54" s="185"/>
      <c r="E54" s="183"/>
      <c r="F54" s="19"/>
    </row>
    <row r="55" spans="1:6">
      <c r="B55" s="18"/>
      <c r="C55" s="50"/>
      <c r="D55" s="50"/>
      <c r="E55" s="50"/>
    </row>
    <row r="56" spans="1:6">
      <c r="B56" s="18"/>
      <c r="C56" s="18"/>
      <c r="D56" s="18"/>
      <c r="E56" s="18"/>
    </row>
    <row r="57" spans="1:6">
      <c r="D57" s="19"/>
      <c r="E57" s="19"/>
    </row>
    <row r="58" spans="1:6">
      <c r="D58" s="19"/>
      <c r="E58" s="51"/>
    </row>
    <row r="59" spans="1:6">
      <c r="D59" s="19"/>
      <c r="E59" s="51"/>
    </row>
    <row r="60" spans="1:6">
      <c r="E60" s="52"/>
    </row>
  </sheetData>
  <mergeCells count="73">
    <mergeCell ref="E28:E30"/>
    <mergeCell ref="B33:B34"/>
    <mergeCell ref="C33:C34"/>
    <mergeCell ref="D33:D34"/>
    <mergeCell ref="E44:E46"/>
    <mergeCell ref="E39:E40"/>
    <mergeCell ref="B41:B43"/>
    <mergeCell ref="C41:C43"/>
    <mergeCell ref="D41:D43"/>
    <mergeCell ref="E11:E13"/>
    <mergeCell ref="B5:E5"/>
    <mergeCell ref="B7:C7"/>
    <mergeCell ref="C11:C13"/>
    <mergeCell ref="B35:B36"/>
    <mergeCell ref="C35:C36"/>
    <mergeCell ref="D35:D36"/>
    <mergeCell ref="E35:E36"/>
    <mergeCell ref="D25:D27"/>
    <mergeCell ref="B31:B32"/>
    <mergeCell ref="C31:C32"/>
    <mergeCell ref="D31:D32"/>
    <mergeCell ref="E31:E32"/>
    <mergeCell ref="C28:C30"/>
    <mergeCell ref="B28:B30"/>
    <mergeCell ref="D28:D30"/>
    <mergeCell ref="B3:E3"/>
    <mergeCell ref="E22:E24"/>
    <mergeCell ref="B14:B15"/>
    <mergeCell ref="C14:C15"/>
    <mergeCell ref="D14:D15"/>
    <mergeCell ref="E14:E15"/>
    <mergeCell ref="B16:B18"/>
    <mergeCell ref="C16:C18"/>
    <mergeCell ref="D16:D18"/>
    <mergeCell ref="E16:E18"/>
    <mergeCell ref="B4:E4"/>
    <mergeCell ref="B9:B10"/>
    <mergeCell ref="C9:C10"/>
    <mergeCell ref="D9:D10"/>
    <mergeCell ref="B11:B13"/>
    <mergeCell ref="B19:B21"/>
    <mergeCell ref="B53:C53"/>
    <mergeCell ref="B37:B38"/>
    <mergeCell ref="C37:C38"/>
    <mergeCell ref="D37:D38"/>
    <mergeCell ref="E37:E38"/>
    <mergeCell ref="B39:B40"/>
    <mergeCell ref="C39:C40"/>
    <mergeCell ref="D39:D40"/>
    <mergeCell ref="E41:E43"/>
    <mergeCell ref="B44:B46"/>
    <mergeCell ref="C44:C46"/>
    <mergeCell ref="D44:D46"/>
    <mergeCell ref="B50:B52"/>
    <mergeCell ref="C50:C52"/>
    <mergeCell ref="D50:D52"/>
    <mergeCell ref="E50:E52"/>
    <mergeCell ref="B47:B49"/>
    <mergeCell ref="C47:C49"/>
    <mergeCell ref="D47:D49"/>
    <mergeCell ref="E47:E49"/>
    <mergeCell ref="B6:E6"/>
    <mergeCell ref="E33:E34"/>
    <mergeCell ref="C19:C21"/>
    <mergeCell ref="D19:D21"/>
    <mergeCell ref="E19:E21"/>
    <mergeCell ref="B22:B24"/>
    <mergeCell ref="C22:C24"/>
    <mergeCell ref="D22:D24"/>
    <mergeCell ref="B25:B27"/>
    <mergeCell ref="C25:C27"/>
    <mergeCell ref="E25:E27"/>
    <mergeCell ref="D11:D13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showGridLines="0" view="pageBreakPreview" zoomScaleSheetLayoutView="100" workbookViewId="0">
      <selection activeCell="E69" sqref="E69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65"/>
      <c r="B1" s="171"/>
      <c r="C1" s="171"/>
      <c r="D1" s="171"/>
      <c r="E1" s="171"/>
      <c r="F1" s="171"/>
      <c r="G1" s="171"/>
      <c r="H1" s="171"/>
      <c r="I1" s="171"/>
      <c r="J1" s="166"/>
    </row>
    <row r="2" spans="1:10" ht="26.25" customHeight="1">
      <c r="A2" s="167"/>
      <c r="B2" s="511" t="s">
        <v>274</v>
      </c>
      <c r="C2" s="512"/>
      <c r="D2" s="512"/>
      <c r="E2" s="512"/>
      <c r="F2" s="512"/>
      <c r="G2" s="512"/>
      <c r="H2" s="512"/>
      <c r="I2" s="513"/>
      <c r="J2" s="168"/>
    </row>
    <row r="3" spans="1:10" ht="20.399999999999999">
      <c r="A3" s="167"/>
      <c r="B3" s="186"/>
      <c r="C3" s="91"/>
      <c r="D3" s="91"/>
      <c r="E3" s="91"/>
      <c r="F3" s="91"/>
      <c r="G3" s="91"/>
      <c r="H3" s="91"/>
      <c r="I3" s="187"/>
      <c r="J3" s="168"/>
    </row>
    <row r="4" spans="1:10" ht="15" customHeight="1">
      <c r="A4" s="167"/>
      <c r="B4" s="514" t="str">
        <f>ORCAMENTO!B5</f>
        <v xml:space="preserve">                  LOTE 01: AMPLIAÇÃO  DA ESCOLA MUNICIPAL DE EDUCAÇÃO INFANTIL PROF. VANDERLEI CECATTO</v>
      </c>
      <c r="C4" s="515"/>
      <c r="D4" s="515"/>
      <c r="E4" s="515"/>
      <c r="F4" s="515"/>
      <c r="G4" s="515"/>
      <c r="H4" s="515"/>
      <c r="I4" s="516"/>
      <c r="J4" s="168"/>
    </row>
    <row r="5" spans="1:10" ht="36" customHeight="1">
      <c r="A5" s="167"/>
      <c r="B5" s="517" t="str">
        <f>ORCAMENTO!B6</f>
        <v xml:space="preserve">                                               Local da Obra: Avenida Kuluene, Quadra 01, Lotes 11/12/13/14, Jardim Bem Viver                                               Coordenadas Geograficas da Obra: Latitude 14°47'58.4"S - Longitude 53°36'56.4"O</v>
      </c>
      <c r="C5" s="410"/>
      <c r="D5" s="410"/>
      <c r="E5" s="410"/>
      <c r="F5" s="410"/>
      <c r="G5" s="410"/>
      <c r="H5" s="410"/>
      <c r="I5" s="518"/>
      <c r="J5" s="168"/>
    </row>
    <row r="6" spans="1:10" ht="19.5" customHeight="1">
      <c r="A6" s="167"/>
      <c r="B6" s="517" t="s">
        <v>120</v>
      </c>
      <c r="C6" s="410"/>
      <c r="D6" s="410"/>
      <c r="E6" s="410"/>
      <c r="F6" s="410"/>
      <c r="G6" s="410"/>
      <c r="H6" s="418" t="s">
        <v>82</v>
      </c>
      <c r="I6" s="519"/>
      <c r="J6" s="168"/>
    </row>
    <row r="7" spans="1:10" ht="23.25" customHeight="1" thickBot="1">
      <c r="A7" s="167"/>
      <c r="B7" s="520" t="s">
        <v>92</v>
      </c>
      <c r="C7" s="521"/>
      <c r="D7" s="521"/>
      <c r="E7" s="521"/>
      <c r="F7" s="521"/>
      <c r="G7" s="521"/>
      <c r="H7" s="521"/>
      <c r="I7" s="522"/>
      <c r="J7" s="168"/>
    </row>
    <row r="8" spans="1:10" ht="17.100000000000001" customHeight="1">
      <c r="A8" s="167"/>
      <c r="B8" s="22"/>
      <c r="C8" s="23"/>
      <c r="D8" s="23"/>
      <c r="E8" s="23"/>
      <c r="F8" s="23"/>
      <c r="G8" s="23"/>
      <c r="H8" s="23"/>
      <c r="I8" s="23"/>
      <c r="J8" s="168"/>
    </row>
    <row r="9" spans="1:10">
      <c r="A9" s="167"/>
      <c r="B9" s="497" t="s">
        <v>0</v>
      </c>
      <c r="C9" s="497" t="s">
        <v>7</v>
      </c>
      <c r="D9" s="497" t="s">
        <v>8</v>
      </c>
      <c r="E9" s="24" t="s">
        <v>9</v>
      </c>
      <c r="F9" s="497" t="s">
        <v>22</v>
      </c>
      <c r="G9" s="497" t="s">
        <v>23</v>
      </c>
      <c r="H9" s="497" t="s">
        <v>24</v>
      </c>
      <c r="I9" s="497" t="s">
        <v>25</v>
      </c>
      <c r="J9" s="168"/>
    </row>
    <row r="10" spans="1:10">
      <c r="A10" s="167"/>
      <c r="B10" s="498"/>
      <c r="C10" s="498"/>
      <c r="D10" s="498"/>
      <c r="E10" s="24" t="s">
        <v>10</v>
      </c>
      <c r="F10" s="498"/>
      <c r="G10" s="498"/>
      <c r="H10" s="498"/>
      <c r="I10" s="498"/>
      <c r="J10" s="168"/>
    </row>
    <row r="11" spans="1:10">
      <c r="A11" s="167"/>
      <c r="B11" s="465">
        <v>1</v>
      </c>
      <c r="C11" s="466" t="s">
        <v>11</v>
      </c>
      <c r="D11" s="454">
        <f>E11/$E$60+0.00001</f>
        <v>3.6513139102189444E-2</v>
      </c>
      <c r="E11" s="482">
        <f>ORCAMENTO!I21</f>
        <v>22840.930000000004</v>
      </c>
      <c r="F11" s="25"/>
      <c r="G11" s="76"/>
      <c r="H11" s="26"/>
      <c r="I11" s="26"/>
      <c r="J11" s="168"/>
    </row>
    <row r="12" spans="1:10">
      <c r="A12" s="167"/>
      <c r="B12" s="480"/>
      <c r="C12" s="478"/>
      <c r="D12" s="454"/>
      <c r="E12" s="483"/>
      <c r="F12" s="27">
        <v>1</v>
      </c>
      <c r="G12" s="27"/>
      <c r="H12" s="28"/>
      <c r="I12" s="28"/>
      <c r="J12" s="168"/>
    </row>
    <row r="13" spans="1:10">
      <c r="A13" s="167"/>
      <c r="B13" s="481"/>
      <c r="C13" s="479"/>
      <c r="D13" s="454"/>
      <c r="E13" s="484"/>
      <c r="F13" s="29">
        <f>(F12*E11)</f>
        <v>22840.930000000004</v>
      </c>
      <c r="G13" s="30"/>
      <c r="H13" s="31"/>
      <c r="I13" s="30"/>
      <c r="J13" s="168"/>
    </row>
    <row r="14" spans="1:10">
      <c r="A14" s="167"/>
      <c r="B14" s="465">
        <v>2</v>
      </c>
      <c r="C14" s="466" t="s">
        <v>12</v>
      </c>
      <c r="D14" s="454">
        <f>E14/$E$60</f>
        <v>7.6838056789444087E-3</v>
      </c>
      <c r="E14" s="482">
        <f>ORCAMENTO!I27</f>
        <v>4807.95</v>
      </c>
      <c r="F14" s="32"/>
      <c r="G14" s="33"/>
      <c r="H14" s="34"/>
      <c r="I14" s="35"/>
      <c r="J14" s="168"/>
    </row>
    <row r="15" spans="1:10">
      <c r="A15" s="167"/>
      <c r="B15" s="480"/>
      <c r="C15" s="478"/>
      <c r="D15" s="454"/>
      <c r="E15" s="483"/>
      <c r="F15" s="27">
        <v>1</v>
      </c>
      <c r="G15" s="27"/>
      <c r="H15" s="28"/>
      <c r="I15" s="28"/>
      <c r="J15" s="168"/>
    </row>
    <row r="16" spans="1:10">
      <c r="A16" s="167"/>
      <c r="B16" s="481"/>
      <c r="C16" s="479"/>
      <c r="D16" s="454"/>
      <c r="E16" s="484"/>
      <c r="F16" s="29">
        <f>F15*E14</f>
        <v>4807.95</v>
      </c>
      <c r="G16" s="29"/>
      <c r="H16" s="31"/>
      <c r="I16" s="30"/>
      <c r="J16" s="168"/>
    </row>
    <row r="17" spans="1:10">
      <c r="A17" s="167"/>
      <c r="B17" s="465">
        <v>3</v>
      </c>
      <c r="C17" s="466" t="s">
        <v>74</v>
      </c>
      <c r="D17" s="454">
        <f>E17/$E$60</f>
        <v>5.5609469008186967E-2</v>
      </c>
      <c r="E17" s="482">
        <f>ORCAMENTO!I39</f>
        <v>34796.239999999991</v>
      </c>
      <c r="F17" s="36"/>
      <c r="G17" s="499"/>
      <c r="H17" s="485"/>
      <c r="I17" s="35"/>
      <c r="J17" s="168"/>
    </row>
    <row r="18" spans="1:10">
      <c r="A18" s="167"/>
      <c r="B18" s="480"/>
      <c r="C18" s="478"/>
      <c r="D18" s="454"/>
      <c r="E18" s="483"/>
      <c r="F18" s="27">
        <v>1</v>
      </c>
      <c r="G18" s="500"/>
      <c r="H18" s="486"/>
      <c r="I18" s="28"/>
      <c r="J18" s="168"/>
    </row>
    <row r="19" spans="1:10">
      <c r="A19" s="167"/>
      <c r="B19" s="481"/>
      <c r="C19" s="479"/>
      <c r="D19" s="454"/>
      <c r="E19" s="484"/>
      <c r="F19" s="29">
        <f>F18*E17</f>
        <v>34796.239999999991</v>
      </c>
      <c r="G19" s="501"/>
      <c r="H19" s="487"/>
      <c r="I19" s="30"/>
      <c r="J19" s="168"/>
    </row>
    <row r="20" spans="1:10">
      <c r="A20" s="167"/>
      <c r="B20" s="465">
        <v>4</v>
      </c>
      <c r="C20" s="466" t="s">
        <v>26</v>
      </c>
      <c r="D20" s="454">
        <f>E20/$E$60</f>
        <v>0.14325527525194814</v>
      </c>
      <c r="E20" s="482">
        <f>ORCAMENTO!I53</f>
        <v>89638.42</v>
      </c>
      <c r="F20" s="36"/>
      <c r="G20" s="499"/>
      <c r="H20" s="485"/>
      <c r="I20" s="35"/>
      <c r="J20" s="168"/>
    </row>
    <row r="21" spans="1:10">
      <c r="A21" s="167"/>
      <c r="B21" s="480"/>
      <c r="C21" s="478"/>
      <c r="D21" s="454"/>
      <c r="E21" s="483"/>
      <c r="F21" s="27">
        <v>1</v>
      </c>
      <c r="G21" s="500"/>
      <c r="H21" s="486"/>
      <c r="I21" s="28"/>
      <c r="J21" s="168"/>
    </row>
    <row r="22" spans="1:10">
      <c r="A22" s="167"/>
      <c r="B22" s="481"/>
      <c r="C22" s="479"/>
      <c r="D22" s="454"/>
      <c r="E22" s="484"/>
      <c r="F22" s="29">
        <f>F21*E20</f>
        <v>89638.42</v>
      </c>
      <c r="G22" s="501"/>
      <c r="H22" s="487"/>
      <c r="I22" s="30"/>
      <c r="J22" s="168"/>
    </row>
    <row r="23" spans="1:10">
      <c r="A23" s="167"/>
      <c r="B23" s="465">
        <v>5</v>
      </c>
      <c r="C23" s="466" t="s">
        <v>75</v>
      </c>
      <c r="D23" s="454">
        <f>E23/$E$60</f>
        <v>3.2414554449143162E-3</v>
      </c>
      <c r="E23" s="483">
        <f>ORCAMENTO!I56</f>
        <v>2028.26</v>
      </c>
      <c r="F23" s="36"/>
      <c r="G23" s="499"/>
      <c r="H23" s="485"/>
      <c r="I23" s="35"/>
      <c r="J23" s="168"/>
    </row>
    <row r="24" spans="1:10">
      <c r="A24" s="167"/>
      <c r="B24" s="480"/>
      <c r="C24" s="478"/>
      <c r="D24" s="454"/>
      <c r="E24" s="483"/>
      <c r="F24" s="27">
        <v>1</v>
      </c>
      <c r="G24" s="500"/>
      <c r="H24" s="486"/>
      <c r="I24" s="28"/>
      <c r="J24" s="168"/>
    </row>
    <row r="25" spans="1:10">
      <c r="A25" s="167"/>
      <c r="B25" s="481"/>
      <c r="C25" s="479"/>
      <c r="D25" s="454"/>
      <c r="E25" s="484"/>
      <c r="F25" s="29">
        <f>F24*E23</f>
        <v>2028.26</v>
      </c>
      <c r="G25" s="501"/>
      <c r="H25" s="487"/>
      <c r="I25" s="30"/>
      <c r="J25" s="168"/>
    </row>
    <row r="26" spans="1:10">
      <c r="A26" s="167"/>
      <c r="B26" s="465">
        <v>6</v>
      </c>
      <c r="C26" s="466" t="s">
        <v>76</v>
      </c>
      <c r="D26" s="454">
        <f>E26/$E$60</f>
        <v>0.12385731567835968</v>
      </c>
      <c r="E26" s="482">
        <f>ORCAMENTO!I64</f>
        <v>77500.63</v>
      </c>
      <c r="F26" s="36"/>
      <c r="G26" s="499"/>
      <c r="H26" s="485"/>
      <c r="I26" s="35"/>
      <c r="J26" s="168"/>
    </row>
    <row r="27" spans="1:10">
      <c r="A27" s="167"/>
      <c r="B27" s="480"/>
      <c r="C27" s="478"/>
      <c r="D27" s="454"/>
      <c r="E27" s="483"/>
      <c r="F27" s="27">
        <v>1</v>
      </c>
      <c r="G27" s="500"/>
      <c r="H27" s="486"/>
      <c r="I27" s="28"/>
      <c r="J27" s="168"/>
    </row>
    <row r="28" spans="1:10">
      <c r="A28" s="167"/>
      <c r="B28" s="481"/>
      <c r="C28" s="479"/>
      <c r="D28" s="454"/>
      <c r="E28" s="484"/>
      <c r="F28" s="29">
        <f>F27*E26</f>
        <v>77500.63</v>
      </c>
      <c r="G28" s="501"/>
      <c r="H28" s="487"/>
      <c r="I28" s="30"/>
      <c r="J28" s="168"/>
    </row>
    <row r="29" spans="1:10">
      <c r="A29" s="167"/>
      <c r="B29" s="465">
        <v>7</v>
      </c>
      <c r="C29" s="505" t="s">
        <v>13</v>
      </c>
      <c r="D29" s="454">
        <f>E29/$E$60</f>
        <v>9.7075634285337692E-2</v>
      </c>
      <c r="E29" s="482">
        <f>ORCAMENTO!I73</f>
        <v>60742.659999999996</v>
      </c>
      <c r="F29" s="37"/>
      <c r="G29" s="37"/>
      <c r="H29" s="41"/>
      <c r="I29" s="42"/>
      <c r="J29" s="168"/>
    </row>
    <row r="30" spans="1:10">
      <c r="A30" s="167"/>
      <c r="B30" s="480"/>
      <c r="C30" s="506"/>
      <c r="D30" s="454"/>
      <c r="E30" s="483"/>
      <c r="F30" s="28">
        <v>0.5</v>
      </c>
      <c r="G30" s="28">
        <v>0.5</v>
      </c>
      <c r="H30" s="39"/>
      <c r="I30" s="39"/>
      <c r="J30" s="168"/>
    </row>
    <row r="31" spans="1:10">
      <c r="A31" s="167"/>
      <c r="B31" s="481"/>
      <c r="C31" s="507"/>
      <c r="D31" s="454"/>
      <c r="E31" s="484"/>
      <c r="F31" s="30">
        <f>F30*E29</f>
        <v>30371.329999999998</v>
      </c>
      <c r="G31" s="30">
        <f>G30*E29</f>
        <v>30371.329999999998</v>
      </c>
      <c r="H31" s="43"/>
      <c r="I31" s="43"/>
      <c r="J31" s="168"/>
    </row>
    <row r="32" spans="1:10">
      <c r="A32" s="167"/>
      <c r="B32" s="465">
        <v>8</v>
      </c>
      <c r="C32" s="466" t="s">
        <v>14</v>
      </c>
      <c r="D32" s="454">
        <f>E32/$E$60</f>
        <v>0.11167027040581035</v>
      </c>
      <c r="E32" s="482">
        <f>ORCAMENTO!I82</f>
        <v>69874.89</v>
      </c>
      <c r="F32" s="38"/>
      <c r="G32" s="37"/>
      <c r="H32" s="485"/>
      <c r="I32" s="40"/>
      <c r="J32" s="168"/>
    </row>
    <row r="33" spans="1:10">
      <c r="A33" s="167"/>
      <c r="B33" s="480"/>
      <c r="C33" s="478"/>
      <c r="D33" s="454"/>
      <c r="E33" s="483"/>
      <c r="F33" s="28"/>
      <c r="G33" s="38">
        <v>1</v>
      </c>
      <c r="H33" s="486"/>
      <c r="I33" s="28"/>
      <c r="J33" s="168"/>
    </row>
    <row r="34" spans="1:10">
      <c r="A34" s="167"/>
      <c r="B34" s="481"/>
      <c r="C34" s="478"/>
      <c r="D34" s="454"/>
      <c r="E34" s="484"/>
      <c r="F34" s="71"/>
      <c r="G34" s="30">
        <f>G33*E32</f>
        <v>69874.89</v>
      </c>
      <c r="H34" s="487"/>
      <c r="I34" s="30"/>
      <c r="J34" s="168"/>
    </row>
    <row r="35" spans="1:10">
      <c r="A35" s="167"/>
      <c r="B35" s="465">
        <v>9</v>
      </c>
      <c r="C35" s="466" t="s">
        <v>377</v>
      </c>
      <c r="D35" s="454">
        <f>E35/$E$60</f>
        <v>2.2044409310804532E-2</v>
      </c>
      <c r="E35" s="482">
        <f>ORCAMENTO!I86</f>
        <v>13793.740000000002</v>
      </c>
      <c r="F35" s="502"/>
      <c r="G35" s="508"/>
      <c r="H35" s="37"/>
      <c r="I35" s="37"/>
      <c r="J35" s="168"/>
    </row>
    <row r="36" spans="1:10">
      <c r="A36" s="167"/>
      <c r="B36" s="480"/>
      <c r="C36" s="478"/>
      <c r="D36" s="454"/>
      <c r="E36" s="483"/>
      <c r="F36" s="503"/>
      <c r="G36" s="509"/>
      <c r="H36" s="299">
        <v>0.5</v>
      </c>
      <c r="I36" s="300">
        <v>0.5</v>
      </c>
      <c r="J36" s="168"/>
    </row>
    <row r="37" spans="1:10">
      <c r="A37" s="167"/>
      <c r="B37" s="481"/>
      <c r="C37" s="479"/>
      <c r="D37" s="454"/>
      <c r="E37" s="484"/>
      <c r="F37" s="504"/>
      <c r="G37" s="510"/>
      <c r="H37" s="302">
        <f>H36*E35</f>
        <v>6896.8700000000008</v>
      </c>
      <c r="I37" s="301">
        <f>I36*E35</f>
        <v>6896.8700000000008</v>
      </c>
      <c r="J37" s="168"/>
    </row>
    <row r="38" spans="1:10">
      <c r="A38" s="167"/>
      <c r="B38" s="465">
        <v>10</v>
      </c>
      <c r="C38" s="466" t="s">
        <v>79</v>
      </c>
      <c r="D38" s="454">
        <f>E38/$E$60</f>
        <v>5.3405641765140024E-2</v>
      </c>
      <c r="E38" s="482">
        <f>ORCAMENTO!I101</f>
        <v>33417.249999999993</v>
      </c>
      <c r="F38" s="503"/>
      <c r="G38" s="37"/>
      <c r="H38" s="485"/>
      <c r="I38" s="40"/>
      <c r="J38" s="168"/>
    </row>
    <row r="39" spans="1:10">
      <c r="A39" s="167"/>
      <c r="B39" s="480"/>
      <c r="C39" s="478"/>
      <c r="D39" s="454"/>
      <c r="E39" s="483"/>
      <c r="F39" s="503"/>
      <c r="G39" s="38">
        <v>1</v>
      </c>
      <c r="H39" s="486"/>
      <c r="I39" s="28"/>
      <c r="J39" s="168"/>
    </row>
    <row r="40" spans="1:10">
      <c r="A40" s="167"/>
      <c r="B40" s="481"/>
      <c r="C40" s="478"/>
      <c r="D40" s="454"/>
      <c r="E40" s="484"/>
      <c r="F40" s="504"/>
      <c r="G40" s="30">
        <f>G39*E38</f>
        <v>33417.249999999993</v>
      </c>
      <c r="H40" s="487"/>
      <c r="I40" s="30"/>
      <c r="J40" s="168"/>
    </row>
    <row r="41" spans="1:10">
      <c r="A41" s="167"/>
      <c r="B41" s="465">
        <v>11</v>
      </c>
      <c r="C41" s="505" t="s">
        <v>27</v>
      </c>
      <c r="D41" s="454">
        <f>E41/$E$60</f>
        <v>0.12486902195339494</v>
      </c>
      <c r="E41" s="482">
        <f>ORCAMENTO!I111</f>
        <v>78133.680000000008</v>
      </c>
      <c r="F41" s="44"/>
      <c r="G41" s="485"/>
      <c r="H41" s="37"/>
      <c r="I41" s="37"/>
      <c r="J41" s="168"/>
    </row>
    <row r="42" spans="1:10">
      <c r="A42" s="167"/>
      <c r="B42" s="480"/>
      <c r="C42" s="506"/>
      <c r="D42" s="454"/>
      <c r="E42" s="483"/>
      <c r="F42" s="27"/>
      <c r="G42" s="486"/>
      <c r="H42" s="28">
        <v>0.5</v>
      </c>
      <c r="I42" s="28">
        <v>0.5</v>
      </c>
      <c r="J42" s="168"/>
    </row>
    <row r="43" spans="1:10">
      <c r="A43" s="167"/>
      <c r="B43" s="481"/>
      <c r="C43" s="507"/>
      <c r="D43" s="454"/>
      <c r="E43" s="484"/>
      <c r="F43" s="29"/>
      <c r="G43" s="487"/>
      <c r="H43" s="31">
        <f>H42*E41</f>
        <v>39066.840000000004</v>
      </c>
      <c r="I43" s="31">
        <f>I42*E41</f>
        <v>39066.840000000004</v>
      </c>
      <c r="J43" s="168"/>
    </row>
    <row r="44" spans="1:10">
      <c r="A44" s="167"/>
      <c r="B44" s="465">
        <v>12</v>
      </c>
      <c r="C44" s="505" t="s">
        <v>15</v>
      </c>
      <c r="D44" s="454">
        <f>E44/$E$60</f>
        <v>7.9788266121788423E-2</v>
      </c>
      <c r="E44" s="482">
        <f>ORCAMENTO!I126</f>
        <v>49925.520000000004</v>
      </c>
      <c r="F44" s="44"/>
      <c r="G44" s="37"/>
      <c r="H44" s="37"/>
      <c r="I44" s="37"/>
      <c r="J44" s="168"/>
    </row>
    <row r="45" spans="1:10">
      <c r="A45" s="167"/>
      <c r="B45" s="480"/>
      <c r="C45" s="506"/>
      <c r="D45" s="454"/>
      <c r="E45" s="483"/>
      <c r="F45" s="27"/>
      <c r="G45" s="38">
        <v>0.2</v>
      </c>
      <c r="H45" s="38">
        <v>0.4</v>
      </c>
      <c r="I45" s="28">
        <v>0.4</v>
      </c>
      <c r="J45" s="168"/>
    </row>
    <row r="46" spans="1:10">
      <c r="A46" s="167"/>
      <c r="B46" s="481"/>
      <c r="C46" s="507"/>
      <c r="D46" s="454"/>
      <c r="E46" s="484"/>
      <c r="F46" s="29"/>
      <c r="G46" s="30">
        <f>G45*E44</f>
        <v>9985.1040000000012</v>
      </c>
      <c r="H46" s="30">
        <f>H45*E44</f>
        <v>19970.208000000002</v>
      </c>
      <c r="I46" s="31">
        <f>I45*E44</f>
        <v>19970.208000000002</v>
      </c>
      <c r="J46" s="168"/>
    </row>
    <row r="47" spans="1:10">
      <c r="A47" s="167"/>
      <c r="B47" s="465">
        <v>13</v>
      </c>
      <c r="C47" s="466" t="s">
        <v>81</v>
      </c>
      <c r="D47" s="454">
        <f>E47/$E$60</f>
        <v>9.3799179444762279E-2</v>
      </c>
      <c r="E47" s="482">
        <f>ORCAMENTO!I197</f>
        <v>58692.500000000015</v>
      </c>
      <c r="F47" s="44"/>
      <c r="G47" s="37"/>
      <c r="H47" s="37"/>
      <c r="I47" s="37"/>
      <c r="J47" s="168"/>
    </row>
    <row r="48" spans="1:10">
      <c r="A48" s="167"/>
      <c r="B48" s="480"/>
      <c r="C48" s="478"/>
      <c r="D48" s="454"/>
      <c r="E48" s="483"/>
      <c r="F48" s="27"/>
      <c r="G48" s="38">
        <v>0.2</v>
      </c>
      <c r="H48" s="38">
        <v>0.4</v>
      </c>
      <c r="I48" s="28">
        <v>0.4</v>
      </c>
      <c r="J48" s="168"/>
    </row>
    <row r="49" spans="1:10">
      <c r="A49" s="167"/>
      <c r="B49" s="481"/>
      <c r="C49" s="479"/>
      <c r="D49" s="454"/>
      <c r="E49" s="484"/>
      <c r="F49" s="29"/>
      <c r="G49" s="30">
        <f>G48*E47</f>
        <v>11738.500000000004</v>
      </c>
      <c r="H49" s="30">
        <f>H48*E47</f>
        <v>23477.000000000007</v>
      </c>
      <c r="I49" s="31">
        <f>I48*E47</f>
        <v>23477.000000000007</v>
      </c>
      <c r="J49" s="168"/>
    </row>
    <row r="50" spans="1:10">
      <c r="A50" s="167"/>
      <c r="B50" s="465">
        <v>14</v>
      </c>
      <c r="C50" s="466" t="s">
        <v>116</v>
      </c>
      <c r="D50" s="454">
        <f>E50/$E$60</f>
        <v>4.5200121350416053E-2</v>
      </c>
      <c r="E50" s="482">
        <f>ORCAMENTO!I229</f>
        <v>28282.85</v>
      </c>
      <c r="F50" s="44"/>
      <c r="G50" s="37"/>
      <c r="H50" s="37"/>
      <c r="I50" s="37"/>
      <c r="J50" s="168"/>
    </row>
    <row r="51" spans="1:10">
      <c r="A51" s="167"/>
      <c r="B51" s="480"/>
      <c r="C51" s="478"/>
      <c r="D51" s="454"/>
      <c r="E51" s="483"/>
      <c r="F51" s="27"/>
      <c r="G51" s="38">
        <v>0.1</v>
      </c>
      <c r="H51" s="38">
        <v>0.4</v>
      </c>
      <c r="I51" s="28">
        <v>0.5</v>
      </c>
      <c r="J51" s="168"/>
    </row>
    <row r="52" spans="1:10">
      <c r="A52" s="167"/>
      <c r="B52" s="481"/>
      <c r="C52" s="479"/>
      <c r="D52" s="454"/>
      <c r="E52" s="484"/>
      <c r="F52" s="29"/>
      <c r="G52" s="30">
        <f>G51*E50</f>
        <v>2828.2849999999999</v>
      </c>
      <c r="H52" s="30">
        <f>H51*E50</f>
        <v>11313.14</v>
      </c>
      <c r="I52" s="31">
        <f>I51*E50</f>
        <v>14141.424999999999</v>
      </c>
      <c r="J52" s="168"/>
    </row>
    <row r="53" spans="1:10">
      <c r="A53" s="167"/>
      <c r="B53" s="465">
        <v>15</v>
      </c>
      <c r="C53" s="466" t="s">
        <v>626</v>
      </c>
      <c r="D53" s="454">
        <f>E53/$E$60</f>
        <v>1.672044187967595E-3</v>
      </c>
      <c r="E53" s="482">
        <v>1046.24</v>
      </c>
      <c r="F53" s="44"/>
      <c r="G53" s="485"/>
      <c r="H53" s="485"/>
      <c r="I53" s="37"/>
      <c r="J53" s="168"/>
    </row>
    <row r="54" spans="1:10">
      <c r="A54" s="167"/>
      <c r="B54" s="480"/>
      <c r="C54" s="478"/>
      <c r="D54" s="454"/>
      <c r="E54" s="483"/>
      <c r="F54" s="27"/>
      <c r="G54" s="486"/>
      <c r="H54" s="486"/>
      <c r="I54" s="28">
        <v>1</v>
      </c>
      <c r="J54" s="168"/>
    </row>
    <row r="55" spans="1:10">
      <c r="A55" s="167"/>
      <c r="B55" s="481"/>
      <c r="C55" s="479"/>
      <c r="D55" s="454"/>
      <c r="E55" s="484"/>
      <c r="F55" s="29"/>
      <c r="G55" s="487"/>
      <c r="H55" s="487"/>
      <c r="I55" s="31">
        <f>I54*E53</f>
        <v>1046.24</v>
      </c>
      <c r="J55" s="168"/>
    </row>
    <row r="56" spans="1:10" ht="14.25" customHeight="1">
      <c r="A56" s="167"/>
      <c r="B56" s="465">
        <v>16</v>
      </c>
      <c r="C56" s="142"/>
      <c r="D56" s="467">
        <f>E56/$E$60</f>
        <v>3.2495101003541355E-4</v>
      </c>
      <c r="E56" s="482">
        <f>ORCAMENTO!I236</f>
        <v>203.33</v>
      </c>
      <c r="F56" s="44"/>
      <c r="G56" s="72"/>
      <c r="H56" s="45"/>
      <c r="I56" s="32"/>
      <c r="J56" s="168"/>
    </row>
    <row r="57" spans="1:10" ht="21" customHeight="1">
      <c r="A57" s="167"/>
      <c r="B57" s="480"/>
      <c r="C57" s="143" t="s">
        <v>155</v>
      </c>
      <c r="D57" s="489"/>
      <c r="E57" s="483"/>
      <c r="F57" s="27"/>
      <c r="G57" s="27"/>
      <c r="H57" s="27"/>
      <c r="I57" s="38">
        <v>1</v>
      </c>
      <c r="J57" s="168"/>
    </row>
    <row r="58" spans="1:10" ht="13.8" thickBot="1">
      <c r="A58" s="167"/>
      <c r="B58" s="496"/>
      <c r="C58" s="73"/>
      <c r="D58" s="490"/>
      <c r="E58" s="491"/>
      <c r="F58" s="74"/>
      <c r="G58" s="74"/>
      <c r="H58" s="74"/>
      <c r="I58" s="75">
        <f>I57*E56</f>
        <v>203.33</v>
      </c>
      <c r="J58" s="168"/>
    </row>
    <row r="59" spans="1:10" ht="13.8" thickTop="1">
      <c r="A59" s="167"/>
      <c r="B59" s="492" t="s">
        <v>16</v>
      </c>
      <c r="C59" s="493"/>
      <c r="D59" s="46"/>
      <c r="E59" s="46"/>
      <c r="F59" s="30">
        <f>SUM(F13,F16,F19,F22,F25,F28,F31)</f>
        <v>261983.75999999998</v>
      </c>
      <c r="G59" s="30">
        <f>SUM(G31+G52,G49,G46,G40,G34,)</f>
        <v>158215.359</v>
      </c>
      <c r="H59" s="30">
        <f>SUM(H37,H52,H49,H46,H43,)</f>
        <v>100724.05800000002</v>
      </c>
      <c r="I59" s="30">
        <f>SUM(I37,I58,I52,I49,I46,I43,I55)</f>
        <v>104801.91300000002</v>
      </c>
      <c r="J59" s="168"/>
    </row>
    <row r="60" spans="1:10">
      <c r="A60" s="167"/>
      <c r="B60" s="492" t="s">
        <v>17</v>
      </c>
      <c r="C60" s="493"/>
      <c r="D60" s="47">
        <f>SUM(D11:D59)</f>
        <v>1.0000100000000003</v>
      </c>
      <c r="E60" s="48">
        <f>SUM(E11:E58)</f>
        <v>625725.08999999985</v>
      </c>
      <c r="F60" s="49">
        <f>+F59</f>
        <v>261983.75999999998</v>
      </c>
      <c r="G60" s="49">
        <f>+F60+G59</f>
        <v>420199.11899999995</v>
      </c>
      <c r="H60" s="49">
        <f>+G60+H59</f>
        <v>520923.17699999997</v>
      </c>
      <c r="I60" s="303">
        <f>+H60+I59</f>
        <v>625725.09</v>
      </c>
      <c r="J60" s="168"/>
    </row>
    <row r="61" spans="1:10">
      <c r="A61" s="167"/>
      <c r="B61" s="172"/>
      <c r="C61" s="172"/>
      <c r="D61" s="172"/>
      <c r="E61" s="172"/>
      <c r="F61" s="172"/>
      <c r="G61" s="172"/>
      <c r="H61" s="172"/>
      <c r="I61" s="172"/>
      <c r="J61" s="168"/>
    </row>
    <row r="62" spans="1:10">
      <c r="A62" s="167"/>
      <c r="B62" s="172"/>
      <c r="C62" s="173"/>
      <c r="D62" s="173"/>
      <c r="E62" s="173"/>
      <c r="F62" s="172"/>
      <c r="G62" s="172"/>
      <c r="H62" s="172"/>
      <c r="I62" s="172"/>
      <c r="J62" s="168"/>
    </row>
    <row r="63" spans="1:10">
      <c r="A63" s="167"/>
      <c r="B63" s="172"/>
      <c r="C63" s="238"/>
      <c r="D63" s="172"/>
      <c r="E63" s="172"/>
      <c r="F63" s="174"/>
      <c r="G63" s="174"/>
      <c r="H63" s="172"/>
      <c r="I63" s="172"/>
      <c r="J63" s="168"/>
    </row>
    <row r="64" spans="1:10">
      <c r="A64" s="167"/>
      <c r="B64" s="19"/>
      <c r="C64" s="19"/>
      <c r="D64" s="19"/>
      <c r="E64" s="19"/>
      <c r="F64" s="19"/>
      <c r="G64" s="19"/>
      <c r="H64" s="19"/>
      <c r="I64" s="19"/>
      <c r="J64" s="168"/>
    </row>
    <row r="65" spans="1:10" ht="13.8" thickBot="1">
      <c r="A65" s="169"/>
      <c r="B65" s="21"/>
      <c r="C65" s="21"/>
      <c r="D65" s="21"/>
      <c r="E65" s="494"/>
      <c r="F65" s="494"/>
      <c r="G65" s="494"/>
      <c r="H65" s="21"/>
      <c r="I65" s="21"/>
      <c r="J65" s="170"/>
    </row>
    <row r="66" spans="1:10">
      <c r="D66" s="19"/>
      <c r="E66" s="495"/>
      <c r="F66" s="495"/>
      <c r="G66" s="495"/>
      <c r="H66" s="19"/>
    </row>
    <row r="67" spans="1:10">
      <c r="E67" s="488"/>
      <c r="F67" s="488"/>
      <c r="G67" s="488"/>
    </row>
  </sheetData>
  <mergeCells count="97">
    <mergeCell ref="F38:F40"/>
    <mergeCell ref="G35:G37"/>
    <mergeCell ref="B2:I2"/>
    <mergeCell ref="B4:I4"/>
    <mergeCell ref="B5:I5"/>
    <mergeCell ref="B6:G6"/>
    <mergeCell ref="H6:I6"/>
    <mergeCell ref="B7:I7"/>
    <mergeCell ref="E38:E40"/>
    <mergeCell ref="H38:H40"/>
    <mergeCell ref="D11:D13"/>
    <mergeCell ref="E11:E13"/>
    <mergeCell ref="C26:C28"/>
    <mergeCell ref="B38:B40"/>
    <mergeCell ref="C38:C40"/>
    <mergeCell ref="D38:D40"/>
    <mergeCell ref="G41:G43"/>
    <mergeCell ref="D41:D43"/>
    <mergeCell ref="B44:B46"/>
    <mergeCell ref="C44:C46"/>
    <mergeCell ref="D44:D46"/>
    <mergeCell ref="E44:E46"/>
    <mergeCell ref="B41:B43"/>
    <mergeCell ref="C41:C43"/>
    <mergeCell ref="E41:E43"/>
    <mergeCell ref="E50:E52"/>
    <mergeCell ref="B47:B49"/>
    <mergeCell ref="B50:B52"/>
    <mergeCell ref="C50:C52"/>
    <mergeCell ref="D50:D52"/>
    <mergeCell ref="C47:C49"/>
    <mergeCell ref="D47:D49"/>
    <mergeCell ref="F35:F37"/>
    <mergeCell ref="B29:B31"/>
    <mergeCell ref="C29:C31"/>
    <mergeCell ref="D29:D31"/>
    <mergeCell ref="B35:B37"/>
    <mergeCell ref="C35:C37"/>
    <mergeCell ref="B32:B34"/>
    <mergeCell ref="B14:B16"/>
    <mergeCell ref="D17:D19"/>
    <mergeCell ref="E17:E19"/>
    <mergeCell ref="G17:G19"/>
    <mergeCell ref="B9:B10"/>
    <mergeCell ref="C9:C10"/>
    <mergeCell ref="D9:D10"/>
    <mergeCell ref="F9:F10"/>
    <mergeCell ref="G9:G10"/>
    <mergeCell ref="B17:B19"/>
    <mergeCell ref="B11:B13"/>
    <mergeCell ref="C14:C16"/>
    <mergeCell ref="D14:D16"/>
    <mergeCell ref="E14:E16"/>
    <mergeCell ref="E20:E22"/>
    <mergeCell ref="C32:C34"/>
    <mergeCell ref="H9:H10"/>
    <mergeCell ref="I9:I10"/>
    <mergeCell ref="C11:C13"/>
    <mergeCell ref="H17:H19"/>
    <mergeCell ref="G20:G22"/>
    <mergeCell ref="H20:H22"/>
    <mergeCell ref="E29:E31"/>
    <mergeCell ref="H32:H34"/>
    <mergeCell ref="D23:D25"/>
    <mergeCell ref="E23:E25"/>
    <mergeCell ref="G23:G25"/>
    <mergeCell ref="G26:G28"/>
    <mergeCell ref="H26:H28"/>
    <mergeCell ref="H23:H25"/>
    <mergeCell ref="B20:B22"/>
    <mergeCell ref="C17:C19"/>
    <mergeCell ref="B23:B25"/>
    <mergeCell ref="C23:C25"/>
    <mergeCell ref="D20:D22"/>
    <mergeCell ref="C20:C22"/>
    <mergeCell ref="B26:B28"/>
    <mergeCell ref="E67:G67"/>
    <mergeCell ref="D56:D58"/>
    <mergeCell ref="E56:E58"/>
    <mergeCell ref="B59:C59"/>
    <mergeCell ref="B60:C60"/>
    <mergeCell ref="E65:G65"/>
    <mergeCell ref="E66:G66"/>
    <mergeCell ref="B56:B58"/>
    <mergeCell ref="E32:E34"/>
    <mergeCell ref="D32:D34"/>
    <mergeCell ref="D26:D28"/>
    <mergeCell ref="E26:E28"/>
    <mergeCell ref="E47:E49"/>
    <mergeCell ref="D35:D37"/>
    <mergeCell ref="E35:E37"/>
    <mergeCell ref="B53:B55"/>
    <mergeCell ref="C53:C55"/>
    <mergeCell ref="D53:D55"/>
    <mergeCell ref="E53:E55"/>
    <mergeCell ref="H53:H55"/>
    <mergeCell ref="G53:G55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34"/>
  <sheetViews>
    <sheetView view="pageBreakPreview" zoomScaleSheetLayoutView="100" workbookViewId="0">
      <selection activeCell="M8" sqref="M8"/>
    </sheetView>
  </sheetViews>
  <sheetFormatPr defaultRowHeight="13.2"/>
  <cols>
    <col min="2" max="2" width="0.6640625" customWidth="1"/>
    <col min="3" max="3" width="21.88671875" customWidth="1"/>
    <col min="4" max="4" width="54.109375" bestFit="1" customWidth="1"/>
    <col min="5" max="5" width="15" customWidth="1"/>
    <col min="6" max="6" width="38.44140625" customWidth="1"/>
    <col min="7" max="7" width="11.5546875" bestFit="1" customWidth="1"/>
    <col min="8" max="8" width="11.44140625" customWidth="1"/>
    <col min="9" max="9" width="0.6640625" customWidth="1"/>
  </cols>
  <sheetData>
    <row r="1" spans="2:10" ht="18.75" customHeight="1" thickBot="1"/>
    <row r="2" spans="2:10" ht="3.75" customHeight="1" thickBot="1">
      <c r="B2" s="155"/>
      <c r="C2" s="156"/>
      <c r="D2" s="156"/>
      <c r="E2" s="157"/>
      <c r="F2" s="156"/>
      <c r="G2" s="156"/>
      <c r="H2" s="156"/>
      <c r="I2" s="158"/>
      <c r="J2" s="113"/>
    </row>
    <row r="3" spans="2:10" ht="22.5" customHeight="1">
      <c r="B3" s="159"/>
      <c r="C3" s="542" t="s">
        <v>121</v>
      </c>
      <c r="D3" s="543"/>
      <c r="E3" s="543"/>
      <c r="F3" s="543"/>
      <c r="G3" s="543"/>
      <c r="H3" s="544"/>
      <c r="I3" s="160"/>
      <c r="J3" s="113"/>
    </row>
    <row r="4" spans="2:10" ht="16.5" customHeight="1">
      <c r="B4" s="159"/>
      <c r="C4" s="545" t="str">
        <f>ORCAMENTO!B5</f>
        <v xml:space="preserve">                  LOTE 01: AMPLIAÇÃO  DA ESCOLA MUNICIPAL DE EDUCAÇÃO INFANTIL PROF. VANDERLEI CECATTO</v>
      </c>
      <c r="D4" s="546"/>
      <c r="E4" s="546"/>
      <c r="F4" s="546"/>
      <c r="G4" s="546"/>
      <c r="H4" s="547"/>
      <c r="I4" s="160"/>
      <c r="J4" s="113"/>
    </row>
    <row r="5" spans="2:10" ht="13.8" thickBot="1">
      <c r="B5" s="159"/>
      <c r="C5" s="548" t="s">
        <v>452</v>
      </c>
      <c r="D5" s="549"/>
      <c r="E5" s="549"/>
      <c r="F5" s="549"/>
      <c r="G5" s="549"/>
      <c r="H5" s="550"/>
      <c r="I5" s="160"/>
      <c r="J5" s="113"/>
    </row>
    <row r="6" spans="2:10" ht="6" customHeight="1" thickBot="1">
      <c r="B6" s="159"/>
      <c r="C6" s="54"/>
      <c r="D6" s="54"/>
      <c r="E6" s="114"/>
      <c r="F6" s="54"/>
      <c r="G6" s="54"/>
      <c r="H6" s="54"/>
      <c r="I6" s="160"/>
      <c r="J6" s="113"/>
    </row>
    <row r="7" spans="2:10" ht="19.5" customHeight="1">
      <c r="B7" s="159"/>
      <c r="C7" s="243" t="s">
        <v>232</v>
      </c>
      <c r="D7" s="534" t="s">
        <v>453</v>
      </c>
      <c r="E7" s="534"/>
      <c r="F7" s="534"/>
      <c r="G7" s="534"/>
      <c r="H7" s="244" t="s">
        <v>122</v>
      </c>
      <c r="I7" s="160"/>
      <c r="J7" s="113"/>
    </row>
    <row r="8" spans="2:10" ht="26.4">
      <c r="B8" s="159"/>
      <c r="C8" s="245" t="s">
        <v>454</v>
      </c>
      <c r="D8" s="115" t="s">
        <v>123</v>
      </c>
      <c r="E8" s="115" t="s">
        <v>72</v>
      </c>
      <c r="F8" s="115" t="s">
        <v>124</v>
      </c>
      <c r="G8" s="116" t="s">
        <v>306</v>
      </c>
      <c r="H8" s="117" t="s">
        <v>307</v>
      </c>
      <c r="I8" s="160"/>
      <c r="J8" s="113"/>
    </row>
    <row r="9" spans="2:10">
      <c r="B9" s="159"/>
      <c r="C9" s="528" t="s">
        <v>125</v>
      </c>
      <c r="D9" s="529"/>
      <c r="E9" s="529"/>
      <c r="F9" s="529"/>
      <c r="G9" s="529"/>
      <c r="H9" s="530"/>
      <c r="I9" s="160"/>
      <c r="J9" s="113"/>
    </row>
    <row r="10" spans="2:10" ht="26.4">
      <c r="B10" s="159"/>
      <c r="C10" s="285" t="s">
        <v>455</v>
      </c>
      <c r="D10" s="253" t="s">
        <v>456</v>
      </c>
      <c r="E10" s="248" t="s">
        <v>126</v>
      </c>
      <c r="F10" s="249">
        <f>40</f>
        <v>40</v>
      </c>
      <c r="G10" s="250">
        <v>20.47</v>
      </c>
      <c r="H10" s="251">
        <f>TRUNC(F10*G10,2)</f>
        <v>818.8</v>
      </c>
      <c r="I10" s="160"/>
      <c r="J10" s="113"/>
    </row>
    <row r="11" spans="2:10" ht="27" thickBot="1">
      <c r="B11" s="159"/>
      <c r="C11" s="285" t="s">
        <v>457</v>
      </c>
      <c r="D11" s="286" t="s">
        <v>458</v>
      </c>
      <c r="E11" s="232" t="s">
        <v>126</v>
      </c>
      <c r="F11" s="249">
        <f>6</f>
        <v>6</v>
      </c>
      <c r="G11" s="269">
        <v>80.77</v>
      </c>
      <c r="H11" s="270">
        <f>TRUNC(F11*G11,2)</f>
        <v>484.62</v>
      </c>
      <c r="I11" s="160"/>
      <c r="J11" s="113"/>
    </row>
    <row r="12" spans="2:10" ht="16.2" thickBot="1">
      <c r="B12" s="159"/>
      <c r="C12" s="523" t="s">
        <v>629</v>
      </c>
      <c r="D12" s="524"/>
      <c r="E12" s="524"/>
      <c r="F12" s="525"/>
      <c r="G12" s="254" t="s">
        <v>127</v>
      </c>
      <c r="H12" s="255">
        <f>SUM(H10:H11)</f>
        <v>1303.42</v>
      </c>
      <c r="I12" s="160"/>
      <c r="J12" s="113"/>
    </row>
    <row r="13" spans="2:10" ht="6" customHeight="1">
      <c r="B13" s="159"/>
      <c r="C13" s="54"/>
      <c r="D13" s="54"/>
      <c r="E13" s="114"/>
      <c r="F13" s="54"/>
      <c r="G13" s="54"/>
      <c r="H13" s="54"/>
      <c r="I13" s="160"/>
      <c r="J13" s="113"/>
    </row>
    <row r="14" spans="2:10" ht="13.8" thickBot="1">
      <c r="B14" s="159"/>
      <c r="C14" s="54"/>
      <c r="D14" s="54"/>
      <c r="E14" s="54"/>
      <c r="F14" s="54"/>
      <c r="G14" s="54"/>
      <c r="H14" s="54"/>
      <c r="I14" s="161"/>
    </row>
    <row r="15" spans="2:10">
      <c r="B15" s="159"/>
      <c r="C15" s="118" t="s">
        <v>128</v>
      </c>
      <c r="D15" s="535" t="s">
        <v>237</v>
      </c>
      <c r="E15" s="536"/>
      <c r="F15" s="536"/>
      <c r="G15" s="526"/>
      <c r="H15" s="119" t="s">
        <v>122</v>
      </c>
      <c r="I15" s="161"/>
    </row>
    <row r="16" spans="2:10" ht="26.4">
      <c r="B16" s="159"/>
      <c r="C16" s="120" t="s">
        <v>184</v>
      </c>
      <c r="D16" s="115" t="s">
        <v>123</v>
      </c>
      <c r="E16" s="115" t="s">
        <v>72</v>
      </c>
      <c r="F16" s="115" t="s">
        <v>124</v>
      </c>
      <c r="G16" s="116" t="s">
        <v>129</v>
      </c>
      <c r="H16" s="117" t="s">
        <v>130</v>
      </c>
      <c r="I16" s="161"/>
    </row>
    <row r="17" spans="2:9">
      <c r="B17" s="159"/>
      <c r="C17" s="528" t="s">
        <v>131</v>
      </c>
      <c r="D17" s="529"/>
      <c r="E17" s="529"/>
      <c r="F17" s="529"/>
      <c r="G17" s="529"/>
      <c r="H17" s="530"/>
      <c r="I17" s="161"/>
    </row>
    <row r="18" spans="2:9" ht="39.6">
      <c r="B18" s="159"/>
      <c r="C18" s="215">
        <v>3736</v>
      </c>
      <c r="D18" s="216" t="s">
        <v>239</v>
      </c>
      <c r="E18" s="209" t="s">
        <v>122</v>
      </c>
      <c r="F18" s="217">
        <v>1</v>
      </c>
      <c r="G18" s="218">
        <v>32.75</v>
      </c>
      <c r="H18" s="219">
        <f>TRUNC(F18*G18,2)</f>
        <v>32.75</v>
      </c>
      <c r="I18" s="161"/>
    </row>
    <row r="19" spans="2:9" ht="26.4">
      <c r="B19" s="159"/>
      <c r="C19" s="220">
        <v>4430</v>
      </c>
      <c r="D19" s="221" t="s">
        <v>240</v>
      </c>
      <c r="E19" s="209" t="s">
        <v>52</v>
      </c>
      <c r="F19" s="222">
        <v>1.71</v>
      </c>
      <c r="G19" s="223">
        <v>5.27</v>
      </c>
      <c r="H19" s="219">
        <f t="shared" ref="H19:H27" si="0">TRUNC(F19*G19,2)</f>
        <v>9.01</v>
      </c>
      <c r="I19" s="161"/>
    </row>
    <row r="20" spans="2:9" ht="26.4">
      <c r="B20" s="159"/>
      <c r="C20" s="220">
        <v>4517</v>
      </c>
      <c r="D20" s="224" t="s">
        <v>241</v>
      </c>
      <c r="E20" s="209" t="s">
        <v>52</v>
      </c>
      <c r="F20" s="222">
        <v>0.97</v>
      </c>
      <c r="G20" s="223">
        <v>1.58</v>
      </c>
      <c r="H20" s="219">
        <f t="shared" si="0"/>
        <v>1.53</v>
      </c>
      <c r="I20" s="161"/>
    </row>
    <row r="21" spans="2:9" ht="26.4">
      <c r="B21" s="159"/>
      <c r="C21" s="220">
        <v>367</v>
      </c>
      <c r="D21" s="224" t="s">
        <v>242</v>
      </c>
      <c r="E21" s="209" t="s">
        <v>243</v>
      </c>
      <c r="F21" s="222">
        <v>4.9000000000000002E-2</v>
      </c>
      <c r="G21" s="223">
        <v>56.5</v>
      </c>
      <c r="H21" s="219">
        <f t="shared" si="0"/>
        <v>2.76</v>
      </c>
      <c r="I21" s="161"/>
    </row>
    <row r="22" spans="2:9">
      <c r="B22" s="159"/>
      <c r="C22" s="220">
        <v>1379</v>
      </c>
      <c r="D22" s="121" t="s">
        <v>244</v>
      </c>
      <c r="E22" s="209" t="s">
        <v>66</v>
      </c>
      <c r="F22" s="222">
        <v>15</v>
      </c>
      <c r="G22" s="223">
        <v>0.51</v>
      </c>
      <c r="H22" s="219">
        <f t="shared" si="0"/>
        <v>7.65</v>
      </c>
      <c r="I22" s="161"/>
    </row>
    <row r="23" spans="2:9" ht="26.4">
      <c r="B23" s="159"/>
      <c r="C23" s="220">
        <v>4718</v>
      </c>
      <c r="D23" s="224" t="s">
        <v>245</v>
      </c>
      <c r="E23" s="209" t="s">
        <v>243</v>
      </c>
      <c r="F23" s="222">
        <v>3.3000000000000002E-2</v>
      </c>
      <c r="G23" s="223">
        <v>65.319999999999993</v>
      </c>
      <c r="H23" s="219">
        <f t="shared" si="0"/>
        <v>2.15</v>
      </c>
      <c r="I23" s="161"/>
    </row>
    <row r="24" spans="2:9" ht="26.4">
      <c r="B24" s="159"/>
      <c r="C24" s="220">
        <v>4721</v>
      </c>
      <c r="D24" s="224" t="s">
        <v>246</v>
      </c>
      <c r="E24" s="209" t="s">
        <v>243</v>
      </c>
      <c r="F24" s="222">
        <v>1.0999999999999999E-2</v>
      </c>
      <c r="G24" s="223">
        <v>65.319999999999993</v>
      </c>
      <c r="H24" s="219">
        <f t="shared" si="0"/>
        <v>0.71</v>
      </c>
      <c r="I24" s="161"/>
    </row>
    <row r="25" spans="2:9">
      <c r="B25" s="159"/>
      <c r="C25" s="220">
        <v>5075</v>
      </c>
      <c r="D25" s="121" t="s">
        <v>247</v>
      </c>
      <c r="E25" s="225" t="s">
        <v>66</v>
      </c>
      <c r="F25" s="226">
        <v>0.03</v>
      </c>
      <c r="G25" s="226">
        <v>9.76</v>
      </c>
      <c r="H25" s="219">
        <f t="shared" si="0"/>
        <v>0.28999999999999998</v>
      </c>
      <c r="I25" s="161"/>
    </row>
    <row r="26" spans="2:9" ht="26.4">
      <c r="B26" s="159"/>
      <c r="C26" s="220">
        <v>10567</v>
      </c>
      <c r="D26" s="224" t="s">
        <v>248</v>
      </c>
      <c r="E26" s="225" t="s">
        <v>52</v>
      </c>
      <c r="F26" s="226">
        <v>0.56000000000000005</v>
      </c>
      <c r="G26" s="226">
        <v>5.42</v>
      </c>
      <c r="H26" s="219">
        <f t="shared" si="0"/>
        <v>3.03</v>
      </c>
      <c r="I26" s="161"/>
    </row>
    <row r="27" spans="2:9">
      <c r="B27" s="159"/>
      <c r="C27" s="220">
        <v>34449</v>
      </c>
      <c r="D27" s="227" t="s">
        <v>249</v>
      </c>
      <c r="E27" s="225" t="s">
        <v>66</v>
      </c>
      <c r="F27" s="226">
        <v>1.89</v>
      </c>
      <c r="G27" s="226">
        <v>5.59</v>
      </c>
      <c r="H27" s="219">
        <f t="shared" si="0"/>
        <v>10.56</v>
      </c>
      <c r="I27" s="161"/>
    </row>
    <row r="28" spans="2:9">
      <c r="B28" s="159"/>
      <c r="C28" s="528" t="s">
        <v>125</v>
      </c>
      <c r="D28" s="529"/>
      <c r="E28" s="529"/>
      <c r="F28" s="529"/>
      <c r="G28" s="529"/>
      <c r="H28" s="530"/>
      <c r="I28" s="161"/>
    </row>
    <row r="29" spans="2:9">
      <c r="B29" s="159"/>
      <c r="C29" s="228" t="s">
        <v>250</v>
      </c>
      <c r="D29" s="121" t="s">
        <v>251</v>
      </c>
      <c r="E29" s="229" t="s">
        <v>126</v>
      </c>
      <c r="F29" s="124">
        <v>0.44</v>
      </c>
      <c r="G29" s="125">
        <v>17.53</v>
      </c>
      <c r="H29" s="126">
        <f>TRUNC(F29*G29,2)</f>
        <v>7.71</v>
      </c>
      <c r="I29" s="161"/>
    </row>
    <row r="30" spans="2:9" ht="13.8" thickBot="1">
      <c r="B30" s="159"/>
      <c r="C30" s="230" t="s">
        <v>132</v>
      </c>
      <c r="D30" s="231" t="s">
        <v>133</v>
      </c>
      <c r="E30" s="232" t="s">
        <v>126</v>
      </c>
      <c r="F30" s="233">
        <v>1.88</v>
      </c>
      <c r="G30" s="234">
        <v>14.24</v>
      </c>
      <c r="H30" s="235">
        <f>TRUNC(F30*G30,2)</f>
        <v>26.77</v>
      </c>
      <c r="I30" s="161"/>
    </row>
    <row r="31" spans="2:9" ht="16.2" thickBot="1">
      <c r="B31" s="159"/>
      <c r="C31" s="537" t="s">
        <v>288</v>
      </c>
      <c r="D31" s="538"/>
      <c r="E31" s="538"/>
      <c r="F31" s="539"/>
      <c r="G31" s="127" t="s">
        <v>127</v>
      </c>
      <c r="H31" s="128">
        <f>SUM(H18:H30)</f>
        <v>104.91999999999999</v>
      </c>
      <c r="I31" s="161"/>
    </row>
    <row r="32" spans="2:9" ht="13.8" thickBot="1">
      <c r="B32" s="159"/>
      <c r="C32" s="54"/>
      <c r="D32" s="54"/>
      <c r="E32" s="54"/>
      <c r="F32" s="54"/>
      <c r="G32" s="54"/>
      <c r="H32" s="54"/>
      <c r="I32" s="161"/>
    </row>
    <row r="33" spans="2:9">
      <c r="B33" s="159"/>
      <c r="C33" s="118" t="s">
        <v>631</v>
      </c>
      <c r="D33" s="535" t="s">
        <v>283</v>
      </c>
      <c r="E33" s="536"/>
      <c r="F33" s="536"/>
      <c r="G33" s="526"/>
      <c r="H33" s="119" t="s">
        <v>122</v>
      </c>
      <c r="I33" s="161"/>
    </row>
    <row r="34" spans="2:9" ht="26.4">
      <c r="B34" s="159"/>
      <c r="C34" s="120" t="s">
        <v>184</v>
      </c>
      <c r="D34" s="115" t="s">
        <v>123</v>
      </c>
      <c r="E34" s="115" t="s">
        <v>72</v>
      </c>
      <c r="F34" s="115" t="s">
        <v>124</v>
      </c>
      <c r="G34" s="116" t="s">
        <v>129</v>
      </c>
      <c r="H34" s="117" t="s">
        <v>130</v>
      </c>
      <c r="I34" s="161"/>
    </row>
    <row r="35" spans="2:9">
      <c r="B35" s="159"/>
      <c r="C35" s="528" t="s">
        <v>131</v>
      </c>
      <c r="D35" s="529"/>
      <c r="E35" s="529"/>
      <c r="F35" s="529"/>
      <c r="G35" s="529"/>
      <c r="H35" s="530"/>
      <c r="I35" s="161"/>
    </row>
    <row r="36" spans="2:9" ht="41.25" customHeight="1">
      <c r="B36" s="159"/>
      <c r="C36" s="215">
        <v>3742</v>
      </c>
      <c r="D36" s="216" t="s">
        <v>378</v>
      </c>
      <c r="E36" s="209" t="s">
        <v>122</v>
      </c>
      <c r="F36" s="217">
        <v>1</v>
      </c>
      <c r="G36" s="218">
        <v>49.37</v>
      </c>
      <c r="H36" s="219">
        <f>TRUNC(F36*G36,2)</f>
        <v>49.37</v>
      </c>
      <c r="I36" s="161"/>
    </row>
    <row r="37" spans="2:9" ht="26.4">
      <c r="B37" s="159"/>
      <c r="C37" s="220">
        <v>4430</v>
      </c>
      <c r="D37" s="221" t="s">
        <v>240</v>
      </c>
      <c r="E37" s="209" t="s">
        <v>52</v>
      </c>
      <c r="F37" s="222">
        <v>1.86</v>
      </c>
      <c r="G37" s="223">
        <v>5.27</v>
      </c>
      <c r="H37" s="219">
        <f t="shared" ref="H37:H45" si="1">TRUNC(F37*G37,2)</f>
        <v>9.8000000000000007</v>
      </c>
      <c r="I37" s="161"/>
    </row>
    <row r="38" spans="2:9" ht="26.4">
      <c r="B38" s="159"/>
      <c r="C38" s="220">
        <v>4517</v>
      </c>
      <c r="D38" s="224" t="s">
        <v>241</v>
      </c>
      <c r="E38" s="209" t="s">
        <v>52</v>
      </c>
      <c r="F38" s="222">
        <v>1.03</v>
      </c>
      <c r="G38" s="223">
        <v>1.58</v>
      </c>
      <c r="H38" s="219">
        <f t="shared" si="1"/>
        <v>1.62</v>
      </c>
      <c r="I38" s="161"/>
    </row>
    <row r="39" spans="2:9" ht="26.4">
      <c r="B39" s="159"/>
      <c r="C39" s="220">
        <v>367</v>
      </c>
      <c r="D39" s="224" t="s">
        <v>242</v>
      </c>
      <c r="E39" s="209" t="s">
        <v>243</v>
      </c>
      <c r="F39" s="222">
        <v>0.06</v>
      </c>
      <c r="G39" s="223">
        <v>56.5</v>
      </c>
      <c r="H39" s="219">
        <f t="shared" si="1"/>
        <v>3.39</v>
      </c>
      <c r="I39" s="161"/>
    </row>
    <row r="40" spans="2:9">
      <c r="B40" s="159"/>
      <c r="C40" s="220">
        <v>1379</v>
      </c>
      <c r="D40" s="121" t="s">
        <v>244</v>
      </c>
      <c r="E40" s="209" t="s">
        <v>66</v>
      </c>
      <c r="F40" s="222">
        <v>18</v>
      </c>
      <c r="G40" s="223">
        <v>0.51</v>
      </c>
      <c r="H40" s="219">
        <f t="shared" si="1"/>
        <v>9.18</v>
      </c>
      <c r="I40" s="161"/>
    </row>
    <row r="41" spans="2:9" ht="26.4">
      <c r="B41" s="159"/>
      <c r="C41" s="220">
        <v>4718</v>
      </c>
      <c r="D41" s="224" t="s">
        <v>245</v>
      </c>
      <c r="E41" s="209" t="s">
        <v>243</v>
      </c>
      <c r="F41" s="239">
        <v>4.0800000000000003E-2</v>
      </c>
      <c r="G41" s="223">
        <v>65.319999999999993</v>
      </c>
      <c r="H41" s="219">
        <f t="shared" si="1"/>
        <v>2.66</v>
      </c>
      <c r="I41" s="161"/>
    </row>
    <row r="42" spans="2:9" ht="26.4">
      <c r="B42" s="159"/>
      <c r="C42" s="220">
        <v>4721</v>
      </c>
      <c r="D42" s="224" t="s">
        <v>246</v>
      </c>
      <c r="E42" s="209" t="s">
        <v>243</v>
      </c>
      <c r="F42" s="239">
        <v>1.3599999999999999E-2</v>
      </c>
      <c r="G42" s="223">
        <v>65.319999999999993</v>
      </c>
      <c r="H42" s="219">
        <f t="shared" si="1"/>
        <v>0.88</v>
      </c>
      <c r="I42" s="161"/>
    </row>
    <row r="43" spans="2:9">
      <c r="B43" s="159"/>
      <c r="C43" s="220">
        <v>5075</v>
      </c>
      <c r="D43" s="121" t="s">
        <v>247</v>
      </c>
      <c r="E43" s="225" t="s">
        <v>66</v>
      </c>
      <c r="F43" s="226">
        <v>0.03</v>
      </c>
      <c r="G43" s="226">
        <v>9.76</v>
      </c>
      <c r="H43" s="219">
        <f t="shared" si="1"/>
        <v>0.28999999999999998</v>
      </c>
      <c r="I43" s="161"/>
    </row>
    <row r="44" spans="2:9" ht="26.4">
      <c r="B44" s="159"/>
      <c r="C44" s="220">
        <v>10567</v>
      </c>
      <c r="D44" s="224" t="s">
        <v>248</v>
      </c>
      <c r="E44" s="225" t="s">
        <v>52</v>
      </c>
      <c r="F44" s="226">
        <v>0.62</v>
      </c>
      <c r="G44" s="226">
        <v>5.42</v>
      </c>
      <c r="H44" s="219">
        <f t="shared" si="1"/>
        <v>3.36</v>
      </c>
      <c r="I44" s="161"/>
    </row>
    <row r="45" spans="2:9">
      <c r="B45" s="159"/>
      <c r="C45" s="220">
        <v>34449</v>
      </c>
      <c r="D45" s="227" t="s">
        <v>249</v>
      </c>
      <c r="E45" s="225" t="s">
        <v>66</v>
      </c>
      <c r="F45" s="226">
        <v>1.89</v>
      </c>
      <c r="G45" s="226">
        <v>5.59</v>
      </c>
      <c r="H45" s="219">
        <f t="shared" si="1"/>
        <v>10.56</v>
      </c>
      <c r="I45" s="161"/>
    </row>
    <row r="46" spans="2:9">
      <c r="B46" s="159"/>
      <c r="C46" s="528" t="s">
        <v>125</v>
      </c>
      <c r="D46" s="529"/>
      <c r="E46" s="529"/>
      <c r="F46" s="529"/>
      <c r="G46" s="529"/>
      <c r="H46" s="530"/>
      <c r="I46" s="161"/>
    </row>
    <row r="47" spans="2:9">
      <c r="B47" s="159"/>
      <c r="C47" s="228" t="s">
        <v>250</v>
      </c>
      <c r="D47" s="121" t="s">
        <v>251</v>
      </c>
      <c r="E47" s="229" t="s">
        <v>126</v>
      </c>
      <c r="F47" s="124">
        <v>0.47</v>
      </c>
      <c r="G47" s="125">
        <v>17.53</v>
      </c>
      <c r="H47" s="126">
        <f>TRUNC(F47*G47,2)</f>
        <v>8.23</v>
      </c>
      <c r="I47" s="161"/>
    </row>
    <row r="48" spans="2:9">
      <c r="B48" s="159"/>
      <c r="C48" s="240" t="s">
        <v>286</v>
      </c>
      <c r="D48" s="227" t="s">
        <v>285</v>
      </c>
      <c r="E48" s="241" t="s">
        <v>126</v>
      </c>
      <c r="F48" s="242">
        <v>0.15</v>
      </c>
      <c r="G48" s="135">
        <v>17.43</v>
      </c>
      <c r="H48" s="126">
        <f t="shared" ref="H48:H49" si="2">TRUNC(F48*G48,2)</f>
        <v>2.61</v>
      </c>
      <c r="I48" s="161"/>
    </row>
    <row r="49" spans="2:10" ht="26.4">
      <c r="B49" s="159"/>
      <c r="C49" s="240" t="s">
        <v>287</v>
      </c>
      <c r="D49" s="221" t="s">
        <v>289</v>
      </c>
      <c r="E49" s="241" t="s">
        <v>126</v>
      </c>
      <c r="F49" s="242">
        <v>0.81</v>
      </c>
      <c r="G49" s="135">
        <v>17.43</v>
      </c>
      <c r="H49" s="126">
        <f t="shared" si="2"/>
        <v>14.11</v>
      </c>
      <c r="I49" s="161"/>
    </row>
    <row r="50" spans="2:10" ht="13.8" thickBot="1">
      <c r="B50" s="159"/>
      <c r="C50" s="230" t="s">
        <v>132</v>
      </c>
      <c r="D50" s="231" t="s">
        <v>133</v>
      </c>
      <c r="E50" s="232" t="s">
        <v>126</v>
      </c>
      <c r="F50" s="233">
        <v>2.1</v>
      </c>
      <c r="G50" s="234">
        <v>14.24</v>
      </c>
      <c r="H50" s="235">
        <f>TRUNC(F50*G50,2)</f>
        <v>29.9</v>
      </c>
      <c r="I50" s="161"/>
    </row>
    <row r="51" spans="2:10" ht="16.2" thickBot="1">
      <c r="B51" s="159"/>
      <c r="C51" s="537" t="s">
        <v>284</v>
      </c>
      <c r="D51" s="538"/>
      <c r="E51" s="538"/>
      <c r="F51" s="539"/>
      <c r="G51" s="127" t="s">
        <v>127</v>
      </c>
      <c r="H51" s="128">
        <f>SUM(H36:H50)</f>
        <v>145.95999999999998</v>
      </c>
      <c r="I51" s="161"/>
    </row>
    <row r="52" spans="2:10" ht="6" customHeight="1" thickBot="1">
      <c r="B52" s="159"/>
      <c r="C52" s="54"/>
      <c r="D52" s="54"/>
      <c r="E52" s="114"/>
      <c r="F52" s="54"/>
      <c r="G52" s="54"/>
      <c r="H52" s="54"/>
      <c r="I52" s="160"/>
      <c r="J52" s="113"/>
    </row>
    <row r="53" spans="2:10" ht="45.75" customHeight="1">
      <c r="B53" s="159"/>
      <c r="C53" s="118" t="s">
        <v>633</v>
      </c>
      <c r="D53" s="527" t="s">
        <v>580</v>
      </c>
      <c r="E53" s="527"/>
      <c r="F53" s="527"/>
      <c r="G53" s="527"/>
      <c r="H53" s="119" t="s">
        <v>72</v>
      </c>
      <c r="I53" s="161"/>
    </row>
    <row r="54" spans="2:10" ht="26.4">
      <c r="B54" s="159"/>
      <c r="C54" s="120" t="s">
        <v>184</v>
      </c>
      <c r="D54" s="115" t="s">
        <v>123</v>
      </c>
      <c r="E54" s="115" t="s">
        <v>72</v>
      </c>
      <c r="F54" s="115" t="s">
        <v>124</v>
      </c>
      <c r="G54" s="116" t="s">
        <v>129</v>
      </c>
      <c r="H54" s="117" t="s">
        <v>130</v>
      </c>
      <c r="I54" s="161"/>
    </row>
    <row r="55" spans="2:10" ht="21" customHeight="1">
      <c r="B55" s="159"/>
      <c r="C55" s="211" t="s">
        <v>477</v>
      </c>
      <c r="D55" s="210" t="s">
        <v>581</v>
      </c>
      <c r="E55" s="140" t="s">
        <v>122</v>
      </c>
      <c r="F55" s="204">
        <v>1.05</v>
      </c>
      <c r="G55" s="141">
        <v>29.49</v>
      </c>
      <c r="H55" s="141">
        <f>ROUND(G55*F55,2)</f>
        <v>30.96</v>
      </c>
      <c r="I55" s="161"/>
    </row>
    <row r="56" spans="2:10">
      <c r="B56" s="159"/>
      <c r="C56" s="140">
        <v>34353</v>
      </c>
      <c r="D56" s="207" t="s">
        <v>583</v>
      </c>
      <c r="E56" s="140" t="s">
        <v>66</v>
      </c>
      <c r="F56" s="314">
        <v>4</v>
      </c>
      <c r="G56" s="141">
        <v>1.1000000000000001</v>
      </c>
      <c r="H56" s="141">
        <f t="shared" ref="H56:H60" si="3">ROUND(G56*F56,2)</f>
        <v>4.4000000000000004</v>
      </c>
      <c r="I56" s="161"/>
    </row>
    <row r="57" spans="2:10">
      <c r="B57" s="159"/>
      <c r="C57" s="140">
        <v>37398</v>
      </c>
      <c r="D57" s="207" t="s">
        <v>582</v>
      </c>
      <c r="E57" s="140" t="s">
        <v>66</v>
      </c>
      <c r="F57" s="204">
        <v>0.66</v>
      </c>
      <c r="G57" s="141">
        <v>62.37</v>
      </c>
      <c r="H57" s="141">
        <f t="shared" si="3"/>
        <v>41.16</v>
      </c>
      <c r="I57" s="161"/>
    </row>
    <row r="58" spans="2:10" ht="26.4">
      <c r="B58" s="159"/>
      <c r="C58" s="206">
        <v>88256</v>
      </c>
      <c r="D58" s="207" t="s">
        <v>185</v>
      </c>
      <c r="E58" s="140" t="s">
        <v>126</v>
      </c>
      <c r="F58" s="204">
        <v>0.66</v>
      </c>
      <c r="G58" s="141">
        <v>17.420000000000002</v>
      </c>
      <c r="H58" s="141">
        <f t="shared" si="3"/>
        <v>11.5</v>
      </c>
      <c r="I58" s="161"/>
    </row>
    <row r="59" spans="2:10">
      <c r="B59" s="159"/>
      <c r="C59" s="252" t="s">
        <v>250</v>
      </c>
      <c r="D59" s="253" t="s">
        <v>251</v>
      </c>
      <c r="E59" s="248" t="s">
        <v>126</v>
      </c>
      <c r="F59" s="249">
        <v>0.7</v>
      </c>
      <c r="G59" s="336">
        <v>17.53</v>
      </c>
      <c r="H59" s="141">
        <f t="shared" si="3"/>
        <v>12.27</v>
      </c>
      <c r="I59" s="161"/>
    </row>
    <row r="60" spans="2:10" ht="13.8" thickBot="1">
      <c r="B60" s="159"/>
      <c r="C60" s="206">
        <v>88316</v>
      </c>
      <c r="D60" s="205" t="s">
        <v>133</v>
      </c>
      <c r="E60" s="140" t="s">
        <v>126</v>
      </c>
      <c r="F60" s="204">
        <v>0.4</v>
      </c>
      <c r="G60" s="141">
        <v>14.19</v>
      </c>
      <c r="H60" s="141">
        <f t="shared" si="3"/>
        <v>5.68</v>
      </c>
      <c r="I60" s="161"/>
    </row>
    <row r="61" spans="2:10" ht="15.75" customHeight="1" thickBot="1">
      <c r="B61" s="159"/>
      <c r="C61" s="531" t="s">
        <v>579</v>
      </c>
      <c r="D61" s="540"/>
      <c r="E61" s="540"/>
      <c r="F61" s="541"/>
      <c r="G61" s="127" t="s">
        <v>127</v>
      </c>
      <c r="H61" s="128">
        <f>ROUND(SUM(H55:H60),2)</f>
        <v>105.97</v>
      </c>
      <c r="I61" s="161"/>
    </row>
    <row r="62" spans="2:10" ht="11.25" customHeight="1" thickBot="1">
      <c r="B62" s="159"/>
      <c r="C62" s="54"/>
      <c r="D62" s="54"/>
      <c r="E62" s="114"/>
      <c r="F62" s="54"/>
      <c r="G62" s="54"/>
      <c r="H62" s="54"/>
      <c r="I62" s="160"/>
      <c r="J62" s="113"/>
    </row>
    <row r="63" spans="2:10">
      <c r="B63" s="159"/>
      <c r="C63" s="243" t="s">
        <v>259</v>
      </c>
      <c r="D63" s="534" t="s">
        <v>316</v>
      </c>
      <c r="E63" s="534"/>
      <c r="F63" s="534"/>
      <c r="G63" s="534"/>
      <c r="H63" s="244" t="s">
        <v>304</v>
      </c>
      <c r="I63" s="161"/>
    </row>
    <row r="64" spans="2:10" ht="26.4">
      <c r="B64" s="159"/>
      <c r="C64" s="245" t="s">
        <v>305</v>
      </c>
      <c r="D64" s="115" t="s">
        <v>123</v>
      </c>
      <c r="E64" s="115" t="s">
        <v>72</v>
      </c>
      <c r="F64" s="115" t="s">
        <v>124</v>
      </c>
      <c r="G64" s="116" t="s">
        <v>306</v>
      </c>
      <c r="H64" s="117" t="s">
        <v>307</v>
      </c>
      <c r="I64" s="161"/>
    </row>
    <row r="65" spans="2:10">
      <c r="B65" s="159"/>
      <c r="C65" s="528" t="s">
        <v>131</v>
      </c>
      <c r="D65" s="529"/>
      <c r="E65" s="529"/>
      <c r="F65" s="529"/>
      <c r="G65" s="529"/>
      <c r="H65" s="530"/>
      <c r="I65" s="161"/>
    </row>
    <row r="66" spans="2:10" ht="66">
      <c r="B66" s="159"/>
      <c r="C66" s="246" t="s">
        <v>308</v>
      </c>
      <c r="D66" s="247" t="s">
        <v>309</v>
      </c>
      <c r="E66" s="248" t="s">
        <v>304</v>
      </c>
      <c r="F66" s="249">
        <v>1</v>
      </c>
      <c r="G66" s="250">
        <v>376.23</v>
      </c>
      <c r="H66" s="251">
        <f>TRUNC(F66*G66,2)</f>
        <v>376.23</v>
      </c>
      <c r="I66" s="161"/>
    </row>
    <row r="67" spans="2:10" ht="26.4">
      <c r="B67" s="159"/>
      <c r="C67" s="246" t="s">
        <v>310</v>
      </c>
      <c r="D67" s="247" t="s">
        <v>311</v>
      </c>
      <c r="E67" s="248" t="s">
        <v>53</v>
      </c>
      <c r="F67" s="249">
        <v>5.5</v>
      </c>
      <c r="G67" s="250">
        <v>203.4</v>
      </c>
      <c r="H67" s="251">
        <f>TRUNC(F67*G67,2)</f>
        <v>1118.7</v>
      </c>
      <c r="I67" s="161"/>
    </row>
    <row r="68" spans="2:10" ht="52.8">
      <c r="B68" s="159"/>
      <c r="C68" s="246" t="s">
        <v>312</v>
      </c>
      <c r="D68" s="247" t="s">
        <v>313</v>
      </c>
      <c r="E68" s="248" t="s">
        <v>72</v>
      </c>
      <c r="F68" s="249">
        <v>1</v>
      </c>
      <c r="G68" s="250">
        <v>13.17</v>
      </c>
      <c r="H68" s="251">
        <f>TRUNC(F68*G68,2)</f>
        <v>13.17</v>
      </c>
      <c r="I68" s="161"/>
    </row>
    <row r="69" spans="2:10">
      <c r="B69" s="159"/>
      <c r="C69" s="528" t="s">
        <v>125</v>
      </c>
      <c r="D69" s="529"/>
      <c r="E69" s="529"/>
      <c r="F69" s="529"/>
      <c r="G69" s="529"/>
      <c r="H69" s="530"/>
      <c r="I69" s="161"/>
    </row>
    <row r="70" spans="2:10" ht="13.8" thickBot="1">
      <c r="B70" s="159"/>
      <c r="C70" s="252" t="s">
        <v>314</v>
      </c>
      <c r="D70" s="253" t="s">
        <v>315</v>
      </c>
      <c r="E70" s="248" t="s">
        <v>126</v>
      </c>
      <c r="F70" s="249">
        <v>0.3</v>
      </c>
      <c r="G70" s="250">
        <v>16.91</v>
      </c>
      <c r="H70" s="251">
        <f>TRUNC(F70*G70,2)</f>
        <v>5.07</v>
      </c>
      <c r="I70" s="161"/>
    </row>
    <row r="71" spans="2:10" ht="16.2" thickBot="1">
      <c r="B71" s="159"/>
      <c r="C71" s="523" t="s">
        <v>634</v>
      </c>
      <c r="D71" s="524"/>
      <c r="E71" s="524"/>
      <c r="F71" s="525"/>
      <c r="G71" s="254" t="s">
        <v>127</v>
      </c>
      <c r="H71" s="255">
        <f>SUM(H66:H70)</f>
        <v>1513.17</v>
      </c>
      <c r="I71" s="161"/>
    </row>
    <row r="72" spans="2:10" ht="11.25" customHeight="1" thickBot="1">
      <c r="B72" s="159"/>
      <c r="C72" s="54"/>
      <c r="D72" s="54"/>
      <c r="E72" s="114"/>
      <c r="F72" s="54"/>
      <c r="G72" s="54"/>
      <c r="H72" s="54"/>
      <c r="I72" s="160"/>
      <c r="J72" s="113"/>
    </row>
    <row r="73" spans="2:10" ht="14.25" customHeight="1">
      <c r="B73" s="159"/>
      <c r="C73" s="243" t="s">
        <v>350</v>
      </c>
      <c r="D73" s="534" t="s">
        <v>318</v>
      </c>
      <c r="E73" s="534"/>
      <c r="F73" s="534"/>
      <c r="G73" s="534"/>
      <c r="H73" s="244" t="s">
        <v>122</v>
      </c>
      <c r="I73" s="161"/>
    </row>
    <row r="74" spans="2:10" ht="26.4">
      <c r="B74" s="159"/>
      <c r="C74" s="245" t="s">
        <v>305</v>
      </c>
      <c r="D74" s="115" t="s">
        <v>123</v>
      </c>
      <c r="E74" s="115" t="s">
        <v>72</v>
      </c>
      <c r="F74" s="115" t="s">
        <v>124</v>
      </c>
      <c r="G74" s="116" t="s">
        <v>306</v>
      </c>
      <c r="H74" s="117" t="s">
        <v>307</v>
      </c>
      <c r="I74" s="161"/>
    </row>
    <row r="75" spans="2:10">
      <c r="B75" s="159"/>
      <c r="C75" s="528" t="s">
        <v>131</v>
      </c>
      <c r="D75" s="529"/>
      <c r="E75" s="529"/>
      <c r="F75" s="529"/>
      <c r="G75" s="529"/>
      <c r="H75" s="530"/>
      <c r="I75" s="161"/>
    </row>
    <row r="76" spans="2:10">
      <c r="B76" s="159"/>
      <c r="C76" s="262" t="s">
        <v>319</v>
      </c>
      <c r="D76" s="263" t="s">
        <v>320</v>
      </c>
      <c r="E76" s="264" t="s">
        <v>53</v>
      </c>
      <c r="F76" s="265">
        <v>1.05</v>
      </c>
      <c r="G76" s="266">
        <v>337.45</v>
      </c>
      <c r="H76" s="267">
        <f>TRUNC(F76*G76,2)</f>
        <v>354.32</v>
      </c>
      <c r="I76" s="161"/>
    </row>
    <row r="77" spans="2:10">
      <c r="B77" s="159"/>
      <c r="C77" s="528" t="s">
        <v>125</v>
      </c>
      <c r="D77" s="529"/>
      <c r="E77" s="529"/>
      <c r="F77" s="529"/>
      <c r="G77" s="529"/>
      <c r="H77" s="530"/>
      <c r="I77" s="161"/>
    </row>
    <row r="78" spans="2:10">
      <c r="B78" s="159"/>
      <c r="C78" s="252" t="s">
        <v>314</v>
      </c>
      <c r="D78" s="253" t="s">
        <v>315</v>
      </c>
      <c r="E78" s="248" t="s">
        <v>126</v>
      </c>
      <c r="F78" s="249">
        <v>3.5</v>
      </c>
      <c r="G78" s="250">
        <v>16.91</v>
      </c>
      <c r="H78" s="251">
        <f>TRUNC(F78*G78,2)</f>
        <v>59.18</v>
      </c>
      <c r="I78" s="161"/>
    </row>
    <row r="79" spans="2:10" ht="13.8" thickBot="1">
      <c r="B79" s="159"/>
      <c r="C79" s="252" t="s">
        <v>132</v>
      </c>
      <c r="D79" s="268" t="s">
        <v>133</v>
      </c>
      <c r="E79" s="232" t="s">
        <v>126</v>
      </c>
      <c r="F79" s="249">
        <v>3.5</v>
      </c>
      <c r="G79" s="269">
        <v>14.24</v>
      </c>
      <c r="H79" s="270">
        <f>TRUNC(F79*G79,2)</f>
        <v>49.84</v>
      </c>
      <c r="I79" s="161"/>
    </row>
    <row r="80" spans="2:10" ht="16.2" thickBot="1">
      <c r="B80" s="159"/>
      <c r="C80" s="551" t="s">
        <v>321</v>
      </c>
      <c r="D80" s="524"/>
      <c r="E80" s="524"/>
      <c r="F80" s="525"/>
      <c r="G80" s="254" t="s">
        <v>127</v>
      </c>
      <c r="H80" s="255">
        <f>SUM(H76,H78,H79)</f>
        <v>463.34000000000003</v>
      </c>
      <c r="I80" s="161"/>
    </row>
    <row r="81" spans="2:10" ht="11.25" customHeight="1">
      <c r="B81" s="159"/>
      <c r="C81" s="54"/>
      <c r="D81" s="54"/>
      <c r="E81" s="114"/>
      <c r="F81" s="54"/>
      <c r="G81" s="54"/>
      <c r="H81" s="54"/>
      <c r="I81" s="160"/>
      <c r="J81" s="113"/>
    </row>
    <row r="82" spans="2:10" ht="9" customHeight="1" thickBot="1">
      <c r="B82" s="159"/>
      <c r="C82" s="54"/>
      <c r="D82" s="54"/>
      <c r="E82" s="54"/>
      <c r="F82" s="54"/>
      <c r="G82" s="54"/>
      <c r="H82" s="54"/>
      <c r="I82" s="161"/>
    </row>
    <row r="83" spans="2:10">
      <c r="B83" s="159"/>
      <c r="C83" s="243" t="s">
        <v>379</v>
      </c>
      <c r="D83" s="534" t="s">
        <v>547</v>
      </c>
      <c r="E83" s="534"/>
      <c r="F83" s="534"/>
      <c r="G83" s="534"/>
      <c r="H83" s="244" t="s">
        <v>304</v>
      </c>
      <c r="I83" s="161"/>
    </row>
    <row r="84" spans="2:10" ht="26.4">
      <c r="B84" s="159"/>
      <c r="C84" s="245" t="s">
        <v>543</v>
      </c>
      <c r="D84" s="115" t="s">
        <v>123</v>
      </c>
      <c r="E84" s="115" t="s">
        <v>72</v>
      </c>
      <c r="F84" s="115" t="s">
        <v>124</v>
      </c>
      <c r="G84" s="116" t="s">
        <v>306</v>
      </c>
      <c r="H84" s="117" t="s">
        <v>307</v>
      </c>
      <c r="I84" s="161"/>
    </row>
    <row r="85" spans="2:10">
      <c r="B85" s="159"/>
      <c r="C85" s="528" t="s">
        <v>131</v>
      </c>
      <c r="D85" s="529"/>
      <c r="E85" s="529"/>
      <c r="F85" s="529"/>
      <c r="G85" s="529"/>
      <c r="H85" s="530"/>
      <c r="I85" s="161"/>
    </row>
    <row r="86" spans="2:10" ht="30" customHeight="1">
      <c r="B86" s="159"/>
      <c r="C86" s="321" t="s">
        <v>545</v>
      </c>
      <c r="D86" s="324" t="s">
        <v>546</v>
      </c>
      <c r="E86" s="264" t="s">
        <v>53</v>
      </c>
      <c r="F86" s="265">
        <v>1.05</v>
      </c>
      <c r="G86" s="266">
        <v>230.13</v>
      </c>
      <c r="H86" s="267">
        <f>TRUNC(F86*G86,2)</f>
        <v>241.63</v>
      </c>
      <c r="I86" s="161"/>
    </row>
    <row r="87" spans="2:10" ht="45.75" customHeight="1">
      <c r="B87" s="159"/>
      <c r="C87" s="246">
        <v>73548</v>
      </c>
      <c r="D87" s="322" t="s">
        <v>544</v>
      </c>
      <c r="E87" s="264" t="s">
        <v>55</v>
      </c>
      <c r="F87" s="323">
        <v>2E-3</v>
      </c>
      <c r="G87" s="266">
        <v>491.06</v>
      </c>
      <c r="H87" s="267">
        <f>TRUNC(F87*G87,2)</f>
        <v>0.98</v>
      </c>
      <c r="I87" s="161"/>
    </row>
    <row r="88" spans="2:10" ht="14.25" customHeight="1">
      <c r="B88" s="159"/>
      <c r="C88" s="528" t="s">
        <v>125</v>
      </c>
      <c r="D88" s="529"/>
      <c r="E88" s="529"/>
      <c r="F88" s="529"/>
      <c r="G88" s="529"/>
      <c r="H88" s="530"/>
      <c r="I88" s="161"/>
    </row>
    <row r="89" spans="2:10" ht="13.8" thickBot="1">
      <c r="B89" s="159"/>
      <c r="C89" s="252" t="s">
        <v>250</v>
      </c>
      <c r="D89" s="253" t="s">
        <v>251</v>
      </c>
      <c r="E89" s="248" t="s">
        <v>126</v>
      </c>
      <c r="F89" s="249">
        <v>0.7</v>
      </c>
      <c r="G89" s="250">
        <v>17.53</v>
      </c>
      <c r="H89" s="251">
        <f>TRUNC(F89*G89,2)</f>
        <v>12.27</v>
      </c>
      <c r="I89" s="161"/>
    </row>
    <row r="90" spans="2:10" ht="16.2" thickBot="1">
      <c r="B90" s="159"/>
      <c r="C90" s="523" t="s">
        <v>548</v>
      </c>
      <c r="D90" s="524"/>
      <c r="E90" s="524"/>
      <c r="F90" s="525"/>
      <c r="G90" s="254" t="s">
        <v>127</v>
      </c>
      <c r="H90" s="255">
        <f>SUM(H86,H87,H89)</f>
        <v>254.88</v>
      </c>
      <c r="I90" s="161"/>
    </row>
    <row r="91" spans="2:10">
      <c r="B91" s="159"/>
      <c r="C91" s="317"/>
      <c r="D91" s="318"/>
      <c r="E91" s="319"/>
      <c r="F91" s="319"/>
      <c r="G91" s="320"/>
      <c r="H91" s="320"/>
      <c r="I91" s="161"/>
    </row>
    <row r="92" spans="2:10" ht="9" customHeight="1" thickBot="1">
      <c r="B92" s="159"/>
      <c r="C92" s="54"/>
      <c r="D92" s="54"/>
      <c r="E92" s="54"/>
      <c r="F92" s="54"/>
      <c r="G92" s="54"/>
      <c r="H92" s="54"/>
      <c r="I92" s="161"/>
    </row>
    <row r="93" spans="2:10">
      <c r="B93" s="159"/>
      <c r="C93" s="243" t="s">
        <v>380</v>
      </c>
      <c r="D93" s="534" t="s">
        <v>648</v>
      </c>
      <c r="E93" s="534"/>
      <c r="F93" s="534"/>
      <c r="G93" s="534"/>
      <c r="H93" s="244" t="s">
        <v>304</v>
      </c>
      <c r="I93" s="161"/>
    </row>
    <row r="94" spans="2:10" ht="26.4">
      <c r="B94" s="159"/>
      <c r="C94" s="245" t="s">
        <v>543</v>
      </c>
      <c r="D94" s="115" t="s">
        <v>123</v>
      </c>
      <c r="E94" s="115" t="s">
        <v>72</v>
      </c>
      <c r="F94" s="115" t="s">
        <v>124</v>
      </c>
      <c r="G94" s="116" t="s">
        <v>306</v>
      </c>
      <c r="H94" s="117" t="s">
        <v>307</v>
      </c>
      <c r="I94" s="161"/>
    </row>
    <row r="95" spans="2:10">
      <c r="B95" s="159"/>
      <c r="C95" s="528" t="s">
        <v>131</v>
      </c>
      <c r="D95" s="529"/>
      <c r="E95" s="529"/>
      <c r="F95" s="529"/>
      <c r="G95" s="529"/>
      <c r="H95" s="530"/>
      <c r="I95" s="161"/>
    </row>
    <row r="96" spans="2:10" ht="30" customHeight="1">
      <c r="B96" s="159"/>
      <c r="C96" s="321">
        <v>821</v>
      </c>
      <c r="D96" s="324" t="s">
        <v>640</v>
      </c>
      <c r="E96" s="211" t="s">
        <v>226</v>
      </c>
      <c r="F96" s="265">
        <v>1</v>
      </c>
      <c r="G96" s="266">
        <v>12.28</v>
      </c>
      <c r="H96" s="267">
        <f>TRUNC(F96*G96,2)</f>
        <v>12.28</v>
      </c>
      <c r="I96" s="161"/>
    </row>
    <row r="97" spans="2:9" ht="20.25" customHeight="1">
      <c r="B97" s="159"/>
      <c r="C97" s="246" t="s">
        <v>641</v>
      </c>
      <c r="D97" s="322" t="s">
        <v>643</v>
      </c>
      <c r="E97" s="264" t="s">
        <v>642</v>
      </c>
      <c r="F97" s="323">
        <v>7.8E-2</v>
      </c>
      <c r="G97" s="266">
        <v>39.22</v>
      </c>
      <c r="H97" s="267">
        <f>TRUNC(F97*G97,2)</f>
        <v>3.05</v>
      </c>
      <c r="I97" s="161"/>
    </row>
    <row r="98" spans="2:9" ht="30.75" customHeight="1">
      <c r="B98" s="159"/>
      <c r="C98" s="246">
        <v>122</v>
      </c>
      <c r="D98" s="322" t="s">
        <v>644</v>
      </c>
      <c r="E98" s="211" t="s">
        <v>226</v>
      </c>
      <c r="F98" s="323">
        <v>7.0000000000000001E-3</v>
      </c>
      <c r="G98" s="266">
        <v>52.39</v>
      </c>
      <c r="H98" s="267">
        <f>TRUNC(F98*G98,2)</f>
        <v>0.36</v>
      </c>
      <c r="I98" s="161"/>
    </row>
    <row r="99" spans="2:9" ht="14.25" customHeight="1">
      <c r="B99" s="159"/>
      <c r="C99" s="528" t="s">
        <v>125</v>
      </c>
      <c r="D99" s="529"/>
      <c r="E99" s="529"/>
      <c r="F99" s="529"/>
      <c r="G99" s="529"/>
      <c r="H99" s="530"/>
      <c r="I99" s="161"/>
    </row>
    <row r="100" spans="2:9" ht="19.5" customHeight="1">
      <c r="B100" s="159"/>
      <c r="C100" s="315">
        <v>88316</v>
      </c>
      <c r="D100" s="340" t="s">
        <v>133</v>
      </c>
      <c r="E100" s="209" t="s">
        <v>126</v>
      </c>
      <c r="F100" s="212">
        <v>0.31</v>
      </c>
      <c r="G100" s="213">
        <v>14.24</v>
      </c>
      <c r="H100" s="213">
        <f t="shared" ref="H100" si="4">ROUND(G100*F100,2)</f>
        <v>4.41</v>
      </c>
      <c r="I100" s="161"/>
    </row>
    <row r="101" spans="2:9" ht="36.75" customHeight="1" thickBot="1">
      <c r="B101" s="159"/>
      <c r="C101" s="285" t="s">
        <v>645</v>
      </c>
      <c r="D101" s="341" t="s">
        <v>519</v>
      </c>
      <c r="E101" s="264" t="s">
        <v>126</v>
      </c>
      <c r="F101" s="265">
        <v>0.31</v>
      </c>
      <c r="G101" s="266">
        <v>17.95</v>
      </c>
      <c r="H101" s="267">
        <f>TRUNC(F101*G101,2)</f>
        <v>5.56</v>
      </c>
      <c r="I101" s="161"/>
    </row>
    <row r="102" spans="2:9" ht="16.2" thickBot="1">
      <c r="B102" s="159"/>
      <c r="C102" s="523" t="s">
        <v>646</v>
      </c>
      <c r="D102" s="524"/>
      <c r="E102" s="524"/>
      <c r="F102" s="525"/>
      <c r="G102" s="254" t="s">
        <v>127</v>
      </c>
      <c r="H102" s="255">
        <f>SUM(H96:H101)</f>
        <v>25.659999999999997</v>
      </c>
      <c r="I102" s="161"/>
    </row>
    <row r="103" spans="2:9">
      <c r="B103" s="159"/>
      <c r="C103" s="317"/>
      <c r="D103" s="318"/>
      <c r="E103" s="319"/>
      <c r="F103" s="319"/>
      <c r="G103" s="320"/>
      <c r="H103" s="320"/>
      <c r="I103" s="161"/>
    </row>
    <row r="104" spans="2:9" ht="9" customHeight="1" thickBot="1">
      <c r="B104" s="159"/>
      <c r="C104" s="54"/>
      <c r="D104" s="54"/>
      <c r="E104" s="54"/>
      <c r="F104" s="54"/>
      <c r="G104" s="54"/>
      <c r="H104" s="54"/>
      <c r="I104" s="161"/>
    </row>
    <row r="105" spans="2:9">
      <c r="B105" s="159"/>
      <c r="C105" s="243" t="s">
        <v>635</v>
      </c>
      <c r="D105" s="534" t="s">
        <v>649</v>
      </c>
      <c r="E105" s="534"/>
      <c r="F105" s="534"/>
      <c r="G105" s="534"/>
      <c r="H105" s="244" t="s">
        <v>304</v>
      </c>
      <c r="I105" s="161"/>
    </row>
    <row r="106" spans="2:9" ht="26.4">
      <c r="B106" s="159"/>
      <c r="C106" s="245" t="s">
        <v>543</v>
      </c>
      <c r="D106" s="115" t="s">
        <v>123</v>
      </c>
      <c r="E106" s="115" t="s">
        <v>72</v>
      </c>
      <c r="F106" s="115" t="s">
        <v>124</v>
      </c>
      <c r="G106" s="116" t="s">
        <v>306</v>
      </c>
      <c r="H106" s="117" t="s">
        <v>307</v>
      </c>
      <c r="I106" s="161"/>
    </row>
    <row r="107" spans="2:9">
      <c r="B107" s="159"/>
      <c r="C107" s="528" t="s">
        <v>131</v>
      </c>
      <c r="D107" s="529"/>
      <c r="E107" s="529"/>
      <c r="F107" s="529"/>
      <c r="G107" s="529"/>
      <c r="H107" s="530"/>
      <c r="I107" s="161"/>
    </row>
    <row r="108" spans="2:9" ht="30" customHeight="1">
      <c r="B108" s="159"/>
      <c r="C108" s="321">
        <v>38189</v>
      </c>
      <c r="D108" s="324" t="s">
        <v>650</v>
      </c>
      <c r="E108" s="211" t="s">
        <v>226</v>
      </c>
      <c r="F108" s="265">
        <v>1</v>
      </c>
      <c r="G108" s="266">
        <v>190.16</v>
      </c>
      <c r="H108" s="267">
        <f>TRUNC(F108*G108,2)</f>
        <v>190.16</v>
      </c>
      <c r="I108" s="161"/>
    </row>
    <row r="109" spans="2:9" ht="20.25" customHeight="1">
      <c r="B109" s="159"/>
      <c r="C109" s="246">
        <v>3146</v>
      </c>
      <c r="D109" s="322" t="s">
        <v>651</v>
      </c>
      <c r="E109" s="211" t="s">
        <v>52</v>
      </c>
      <c r="F109" s="323">
        <v>4.2000000000000003E-2</v>
      </c>
      <c r="G109" s="266">
        <v>3.4</v>
      </c>
      <c r="H109" s="267">
        <f>TRUNC(F109*G109,2)</f>
        <v>0.14000000000000001</v>
      </c>
      <c r="I109" s="161"/>
    </row>
    <row r="110" spans="2:9" ht="14.25" customHeight="1">
      <c r="B110" s="159"/>
      <c r="C110" s="528" t="s">
        <v>125</v>
      </c>
      <c r="D110" s="529"/>
      <c r="E110" s="529"/>
      <c r="F110" s="529"/>
      <c r="G110" s="529"/>
      <c r="H110" s="530"/>
      <c r="I110" s="161"/>
    </row>
    <row r="111" spans="2:9" ht="36.75" customHeight="1" thickBot="1">
      <c r="B111" s="159"/>
      <c r="C111" s="285" t="s">
        <v>645</v>
      </c>
      <c r="D111" s="341" t="s">
        <v>519</v>
      </c>
      <c r="E111" s="264" t="s">
        <v>126</v>
      </c>
      <c r="F111" s="265">
        <v>0.5</v>
      </c>
      <c r="G111" s="266">
        <v>17.95</v>
      </c>
      <c r="H111" s="267">
        <f>TRUNC(F111*G111,2)</f>
        <v>8.9700000000000006</v>
      </c>
      <c r="I111" s="161"/>
    </row>
    <row r="112" spans="2:9" ht="16.2" thickBot="1">
      <c r="B112" s="159"/>
      <c r="C112" s="523" t="s">
        <v>652</v>
      </c>
      <c r="D112" s="524"/>
      <c r="E112" s="524"/>
      <c r="F112" s="525"/>
      <c r="G112" s="254" t="s">
        <v>127</v>
      </c>
      <c r="H112" s="255">
        <f>SUM(H108:H111)</f>
        <v>199.26999999999998</v>
      </c>
      <c r="I112" s="161"/>
    </row>
    <row r="113" spans="2:9">
      <c r="B113" s="159"/>
      <c r="C113" s="317"/>
      <c r="D113" s="318"/>
      <c r="E113" s="319"/>
      <c r="F113" s="319"/>
      <c r="G113" s="320"/>
      <c r="H113" s="320"/>
      <c r="I113" s="161"/>
    </row>
    <row r="114" spans="2:9" ht="9" customHeight="1" thickBot="1">
      <c r="B114" s="159"/>
      <c r="C114" s="54"/>
      <c r="D114" s="54"/>
      <c r="E114" s="54"/>
      <c r="F114" s="54"/>
      <c r="G114" s="54"/>
      <c r="H114" s="54"/>
      <c r="I114" s="161"/>
    </row>
    <row r="115" spans="2:9">
      <c r="B115" s="159"/>
      <c r="C115" s="243" t="s">
        <v>636</v>
      </c>
      <c r="D115" s="534" t="s">
        <v>656</v>
      </c>
      <c r="E115" s="534"/>
      <c r="F115" s="534"/>
      <c r="G115" s="534"/>
      <c r="H115" s="244" t="s">
        <v>304</v>
      </c>
      <c r="I115" s="161"/>
    </row>
    <row r="116" spans="2:9" ht="26.4">
      <c r="B116" s="159"/>
      <c r="C116" s="245" t="s">
        <v>543</v>
      </c>
      <c r="D116" s="115" t="s">
        <v>123</v>
      </c>
      <c r="E116" s="115" t="s">
        <v>72</v>
      </c>
      <c r="F116" s="115" t="s">
        <v>124</v>
      </c>
      <c r="G116" s="116" t="s">
        <v>306</v>
      </c>
      <c r="H116" s="117" t="s">
        <v>307</v>
      </c>
      <c r="I116" s="161"/>
    </row>
    <row r="117" spans="2:9">
      <c r="B117" s="159"/>
      <c r="C117" s="528" t="s">
        <v>131</v>
      </c>
      <c r="D117" s="529"/>
      <c r="E117" s="529"/>
      <c r="F117" s="529"/>
      <c r="G117" s="529"/>
      <c r="H117" s="530"/>
      <c r="I117" s="161"/>
    </row>
    <row r="118" spans="2:9" ht="30" customHeight="1">
      <c r="B118" s="159"/>
      <c r="C118" s="321">
        <v>11717</v>
      </c>
      <c r="D118" s="324" t="s">
        <v>657</v>
      </c>
      <c r="E118" s="211" t="s">
        <v>226</v>
      </c>
      <c r="F118" s="265">
        <v>1</v>
      </c>
      <c r="G118" s="266">
        <v>24.29</v>
      </c>
      <c r="H118" s="267">
        <f>TRUNC(F118*G118,2)</f>
        <v>24.29</v>
      </c>
      <c r="I118" s="161"/>
    </row>
    <row r="119" spans="2:9" ht="14.25" customHeight="1">
      <c r="B119" s="159"/>
      <c r="C119" s="528" t="s">
        <v>125</v>
      </c>
      <c r="D119" s="529"/>
      <c r="E119" s="529"/>
      <c r="F119" s="529"/>
      <c r="G119" s="529"/>
      <c r="H119" s="530"/>
      <c r="I119" s="161"/>
    </row>
    <row r="120" spans="2:9" ht="19.5" customHeight="1">
      <c r="B120" s="159"/>
      <c r="C120" s="315">
        <v>88316</v>
      </c>
      <c r="D120" s="340" t="s">
        <v>133</v>
      </c>
      <c r="E120" s="209" t="s">
        <v>126</v>
      </c>
      <c r="F120" s="212">
        <v>0.5</v>
      </c>
      <c r="G120" s="213">
        <v>14.24</v>
      </c>
      <c r="H120" s="213">
        <f t="shared" ref="H120" si="5">ROUND(G120*F120,2)</f>
        <v>7.12</v>
      </c>
      <c r="I120" s="161"/>
    </row>
    <row r="121" spans="2:9" ht="36.75" customHeight="1" thickBot="1">
      <c r="B121" s="159"/>
      <c r="C121" s="285" t="s">
        <v>645</v>
      </c>
      <c r="D121" s="341" t="s">
        <v>519</v>
      </c>
      <c r="E121" s="264" t="s">
        <v>126</v>
      </c>
      <c r="F121" s="265">
        <v>0.5</v>
      </c>
      <c r="G121" s="266">
        <v>17.95</v>
      </c>
      <c r="H121" s="267">
        <f>TRUNC(F121*G121,2)</f>
        <v>8.9700000000000006</v>
      </c>
      <c r="I121" s="161"/>
    </row>
    <row r="122" spans="2:9" ht="16.2" thickBot="1">
      <c r="B122" s="159"/>
      <c r="C122" s="523" t="s">
        <v>655</v>
      </c>
      <c r="D122" s="524"/>
      <c r="E122" s="524"/>
      <c r="F122" s="525"/>
      <c r="G122" s="254" t="s">
        <v>127</v>
      </c>
      <c r="H122" s="255">
        <f>SUM(H118:H121)</f>
        <v>40.380000000000003</v>
      </c>
      <c r="I122" s="161"/>
    </row>
    <row r="123" spans="2:9">
      <c r="B123" s="159"/>
      <c r="C123" s="118" t="s">
        <v>637</v>
      </c>
      <c r="D123" s="527" t="s">
        <v>231</v>
      </c>
      <c r="E123" s="527"/>
      <c r="F123" s="527"/>
      <c r="G123" s="527"/>
      <c r="H123" s="119" t="s">
        <v>72</v>
      </c>
      <c r="I123" s="161"/>
    </row>
    <row r="124" spans="2:9" ht="26.4">
      <c r="B124" s="159"/>
      <c r="C124" s="120" t="s">
        <v>145</v>
      </c>
      <c r="D124" s="115" t="s">
        <v>123</v>
      </c>
      <c r="E124" s="115" t="s">
        <v>72</v>
      </c>
      <c r="F124" s="115" t="s">
        <v>124</v>
      </c>
      <c r="G124" s="116" t="s">
        <v>129</v>
      </c>
      <c r="H124" s="117" t="s">
        <v>130</v>
      </c>
      <c r="I124" s="161"/>
    </row>
    <row r="125" spans="2:9">
      <c r="B125" s="159"/>
      <c r="C125" s="208" t="s">
        <v>229</v>
      </c>
      <c r="D125" s="207" t="s">
        <v>230</v>
      </c>
      <c r="E125" s="208" t="s">
        <v>55</v>
      </c>
      <c r="F125" s="204">
        <v>2.7</v>
      </c>
      <c r="G125" s="141">
        <v>107.5</v>
      </c>
      <c r="H125" s="141">
        <f>G125*F125</f>
        <v>290.25</v>
      </c>
      <c r="I125" s="161"/>
    </row>
    <row r="126" spans="2:9">
      <c r="B126" s="159"/>
      <c r="C126" s="140">
        <v>12547</v>
      </c>
      <c r="D126" s="207" t="s">
        <v>227</v>
      </c>
      <c r="E126" s="208" t="s">
        <v>226</v>
      </c>
      <c r="F126" s="314">
        <v>6</v>
      </c>
      <c r="G126" s="141">
        <v>92.37</v>
      </c>
      <c r="H126" s="141">
        <f t="shared" ref="H126:H128" si="6">G126*F126</f>
        <v>554.22</v>
      </c>
      <c r="I126" s="161"/>
    </row>
    <row r="127" spans="2:9" ht="39" customHeight="1">
      <c r="B127" s="159"/>
      <c r="C127" s="209">
        <v>94963</v>
      </c>
      <c r="D127" s="210" t="s">
        <v>228</v>
      </c>
      <c r="E127" s="211" t="s">
        <v>55</v>
      </c>
      <c r="F127" s="212">
        <v>0.189</v>
      </c>
      <c r="G127" s="213">
        <v>277.77</v>
      </c>
      <c r="H127" s="213">
        <f t="shared" si="6"/>
        <v>52.498529999999995</v>
      </c>
      <c r="I127" s="161"/>
    </row>
    <row r="128" spans="2:9" ht="30" customHeight="1" thickBot="1">
      <c r="B128" s="159"/>
      <c r="C128" s="315">
        <v>93358</v>
      </c>
      <c r="D128" s="324" t="s">
        <v>117</v>
      </c>
      <c r="E128" s="211" t="s">
        <v>55</v>
      </c>
      <c r="F128" s="212">
        <v>5.0999999999999996</v>
      </c>
      <c r="G128" s="213">
        <v>56.33</v>
      </c>
      <c r="H128" s="213">
        <f t="shared" si="6"/>
        <v>287.28299999999996</v>
      </c>
      <c r="I128" s="161"/>
    </row>
    <row r="129" spans="2:9" ht="16.2" thickBot="1">
      <c r="B129" s="159"/>
      <c r="C129" s="531" t="s">
        <v>658</v>
      </c>
      <c r="D129" s="540"/>
      <c r="E129" s="540"/>
      <c r="F129" s="541"/>
      <c r="G129" s="127" t="s">
        <v>127</v>
      </c>
      <c r="H129" s="128">
        <f>TRUNC(SUM(H125:H128),2)</f>
        <v>1184.25</v>
      </c>
      <c r="I129" s="161"/>
    </row>
    <row r="130" spans="2:9" ht="9" customHeight="1" thickBot="1">
      <c r="B130" s="159"/>
      <c r="C130" s="54"/>
      <c r="D130" s="54"/>
      <c r="E130" s="54"/>
      <c r="F130" s="54"/>
      <c r="G130" s="54"/>
      <c r="H130" s="54"/>
      <c r="I130" s="161"/>
    </row>
    <row r="131" spans="2:9">
      <c r="B131" s="159"/>
      <c r="C131" s="118" t="s">
        <v>638</v>
      </c>
      <c r="D131" s="527" t="s">
        <v>510</v>
      </c>
      <c r="E131" s="527"/>
      <c r="F131" s="527"/>
      <c r="G131" s="527"/>
      <c r="H131" s="119" t="s">
        <v>72</v>
      </c>
      <c r="I131" s="161"/>
    </row>
    <row r="132" spans="2:9" ht="26.4">
      <c r="B132" s="159"/>
      <c r="C132" s="120" t="s">
        <v>145</v>
      </c>
      <c r="D132" s="115" t="s">
        <v>123</v>
      </c>
      <c r="E132" s="115" t="s">
        <v>72</v>
      </c>
      <c r="F132" s="115" t="s">
        <v>124</v>
      </c>
      <c r="G132" s="116" t="s">
        <v>129</v>
      </c>
      <c r="H132" s="117" t="s">
        <v>130</v>
      </c>
      <c r="I132" s="161"/>
    </row>
    <row r="133" spans="2:9">
      <c r="B133" s="159"/>
      <c r="C133" s="208" t="s">
        <v>509</v>
      </c>
      <c r="D133" s="207" t="s">
        <v>510</v>
      </c>
      <c r="E133" s="208" t="s">
        <v>52</v>
      </c>
      <c r="F133" s="314">
        <v>1</v>
      </c>
      <c r="G133" s="141">
        <v>5.98</v>
      </c>
      <c r="H133" s="141">
        <f>G133*F133</f>
        <v>5.98</v>
      </c>
      <c r="I133" s="161"/>
    </row>
    <row r="134" spans="2:9" ht="13.8" thickBot="1">
      <c r="B134" s="159"/>
      <c r="C134" s="206">
        <v>88316</v>
      </c>
      <c r="D134" s="205" t="s">
        <v>133</v>
      </c>
      <c r="E134" s="140" t="s">
        <v>126</v>
      </c>
      <c r="F134" s="204">
        <v>0.08</v>
      </c>
      <c r="G134" s="141">
        <v>14.24</v>
      </c>
      <c r="H134" s="141">
        <f t="shared" ref="H134" si="7">ROUND(G134*F134,2)</f>
        <v>1.1399999999999999</v>
      </c>
      <c r="I134" s="161"/>
    </row>
    <row r="135" spans="2:9" ht="16.2" thickBot="1">
      <c r="B135" s="159"/>
      <c r="C135" s="531" t="s">
        <v>670</v>
      </c>
      <c r="D135" s="540"/>
      <c r="E135" s="540"/>
      <c r="F135" s="541"/>
      <c r="G135" s="127" t="s">
        <v>127</v>
      </c>
      <c r="H135" s="128">
        <f>TRUNC(SUM(H133:H134),2)</f>
        <v>7.12</v>
      </c>
      <c r="I135" s="161"/>
    </row>
    <row r="136" spans="2:9" ht="9" customHeight="1" thickBot="1">
      <c r="B136" s="159"/>
      <c r="C136" s="54"/>
      <c r="D136" s="54"/>
      <c r="E136" s="54"/>
      <c r="F136" s="54"/>
      <c r="G136" s="54"/>
      <c r="H136" s="54"/>
      <c r="I136" s="161"/>
    </row>
    <row r="137" spans="2:9" ht="33" customHeight="1">
      <c r="B137" s="159"/>
      <c r="C137" s="118" t="s">
        <v>659</v>
      </c>
      <c r="D137" s="527" t="s">
        <v>512</v>
      </c>
      <c r="E137" s="527"/>
      <c r="F137" s="527"/>
      <c r="G137" s="527"/>
      <c r="H137" s="119" t="s">
        <v>72</v>
      </c>
      <c r="I137" s="161"/>
    </row>
    <row r="138" spans="2:9" ht="26.4">
      <c r="B138" s="159"/>
      <c r="C138" s="120" t="s">
        <v>145</v>
      </c>
      <c r="D138" s="115" t="s">
        <v>123</v>
      </c>
      <c r="E138" s="115" t="s">
        <v>72</v>
      </c>
      <c r="F138" s="115" t="s">
        <v>124</v>
      </c>
      <c r="G138" s="116" t="s">
        <v>129</v>
      </c>
      <c r="H138" s="117" t="s">
        <v>130</v>
      </c>
      <c r="I138" s="161"/>
    </row>
    <row r="139" spans="2:9">
      <c r="B139" s="159"/>
      <c r="C139" s="208" t="s">
        <v>511</v>
      </c>
      <c r="D139" s="207" t="s">
        <v>512</v>
      </c>
      <c r="E139" s="129" t="s">
        <v>2</v>
      </c>
      <c r="F139" s="314">
        <v>1</v>
      </c>
      <c r="G139" s="141">
        <v>124.08</v>
      </c>
      <c r="H139" s="141">
        <f>G139*F139</f>
        <v>124.08</v>
      </c>
      <c r="I139" s="161"/>
    </row>
    <row r="140" spans="2:9" ht="13.8" thickBot="1">
      <c r="B140" s="159"/>
      <c r="C140" s="206">
        <v>88316</v>
      </c>
      <c r="D140" s="207" t="s">
        <v>251</v>
      </c>
      <c r="E140" s="140" t="s">
        <v>126</v>
      </c>
      <c r="F140" s="204">
        <v>0.7</v>
      </c>
      <c r="G140" s="141">
        <v>17.53</v>
      </c>
      <c r="H140" s="141">
        <f t="shared" ref="H140" si="8">ROUND(G140*F140,2)</f>
        <v>12.27</v>
      </c>
      <c r="I140" s="161"/>
    </row>
    <row r="141" spans="2:9" ht="16.2" thickBot="1">
      <c r="B141" s="159"/>
      <c r="C141" s="531" t="s">
        <v>524</v>
      </c>
      <c r="D141" s="540"/>
      <c r="E141" s="540"/>
      <c r="F141" s="541"/>
      <c r="G141" s="127" t="s">
        <v>127</v>
      </c>
      <c r="H141" s="128">
        <f>TRUNC(SUM(H139:H140),2)</f>
        <v>136.35</v>
      </c>
      <c r="I141" s="161"/>
    </row>
    <row r="142" spans="2:9" ht="9" customHeight="1" thickBot="1">
      <c r="B142" s="159"/>
      <c r="C142" s="54"/>
      <c r="D142" s="54"/>
      <c r="E142" s="54"/>
      <c r="F142" s="54"/>
      <c r="G142" s="54"/>
      <c r="H142" s="54"/>
      <c r="I142" s="161"/>
    </row>
    <row r="143" spans="2:9" ht="33" customHeight="1">
      <c r="B143" s="159"/>
      <c r="C143" s="118" t="s">
        <v>660</v>
      </c>
      <c r="D143" s="527" t="s">
        <v>518</v>
      </c>
      <c r="E143" s="527"/>
      <c r="F143" s="527"/>
      <c r="G143" s="527"/>
      <c r="H143" s="119" t="s">
        <v>72</v>
      </c>
      <c r="I143" s="161"/>
    </row>
    <row r="144" spans="2:9" ht="26.4">
      <c r="B144" s="159"/>
      <c r="C144" s="120" t="s">
        <v>145</v>
      </c>
      <c r="D144" s="115" t="s">
        <v>123</v>
      </c>
      <c r="E144" s="115" t="s">
        <v>72</v>
      </c>
      <c r="F144" s="115" t="s">
        <v>124</v>
      </c>
      <c r="G144" s="116" t="s">
        <v>129</v>
      </c>
      <c r="H144" s="117" t="s">
        <v>130</v>
      </c>
      <c r="I144" s="161"/>
    </row>
    <row r="145" spans="2:9">
      <c r="B145" s="159"/>
      <c r="C145" s="208" t="s">
        <v>517</v>
      </c>
      <c r="D145" s="207" t="s">
        <v>512</v>
      </c>
      <c r="E145" s="129" t="s">
        <v>2</v>
      </c>
      <c r="F145" s="314">
        <v>1</v>
      </c>
      <c r="G145" s="141">
        <v>42.06</v>
      </c>
      <c r="H145" s="141">
        <f>G145*F145</f>
        <v>42.06</v>
      </c>
      <c r="I145" s="161"/>
    </row>
    <row r="146" spans="2:9" ht="27" thickBot="1">
      <c r="B146" s="159"/>
      <c r="C146" s="206">
        <v>88267</v>
      </c>
      <c r="D146" s="207" t="s">
        <v>519</v>
      </c>
      <c r="E146" s="140" t="s">
        <v>126</v>
      </c>
      <c r="F146" s="204">
        <v>0.15</v>
      </c>
      <c r="G146" s="141">
        <v>17.95</v>
      </c>
      <c r="H146" s="141">
        <f t="shared" ref="H146" si="9">ROUND(G146*F146,2)</f>
        <v>2.69</v>
      </c>
      <c r="I146" s="161"/>
    </row>
    <row r="147" spans="2:9" ht="16.2" thickBot="1">
      <c r="B147" s="159"/>
      <c r="C147" s="531" t="s">
        <v>522</v>
      </c>
      <c r="D147" s="540"/>
      <c r="E147" s="540"/>
      <c r="F147" s="541"/>
      <c r="G147" s="127" t="s">
        <v>127</v>
      </c>
      <c r="H147" s="128">
        <f>TRUNC(SUM(H145:H146),2)</f>
        <v>44.75</v>
      </c>
      <c r="I147" s="161"/>
    </row>
    <row r="148" spans="2:9" ht="9" customHeight="1" thickBot="1">
      <c r="B148" s="159"/>
      <c r="C148" s="54"/>
      <c r="D148" s="54"/>
      <c r="E148" s="54"/>
      <c r="F148" s="54"/>
      <c r="G148" s="54"/>
      <c r="H148" s="54"/>
      <c r="I148" s="161"/>
    </row>
    <row r="149" spans="2:9" ht="33" customHeight="1">
      <c r="B149" s="159"/>
      <c r="C149" s="118" t="s">
        <v>662</v>
      </c>
      <c r="D149" s="527" t="s">
        <v>525</v>
      </c>
      <c r="E149" s="527"/>
      <c r="F149" s="527"/>
      <c r="G149" s="527"/>
      <c r="H149" s="119" t="s">
        <v>72</v>
      </c>
      <c r="I149" s="161"/>
    </row>
    <row r="150" spans="2:9" ht="26.4">
      <c r="B150" s="159"/>
      <c r="C150" s="120" t="s">
        <v>145</v>
      </c>
      <c r="D150" s="115" t="s">
        <v>123</v>
      </c>
      <c r="E150" s="115" t="s">
        <v>72</v>
      </c>
      <c r="F150" s="115" t="s">
        <v>124</v>
      </c>
      <c r="G150" s="116" t="s">
        <v>129</v>
      </c>
      <c r="H150" s="117" t="s">
        <v>130</v>
      </c>
      <c r="I150" s="161"/>
    </row>
    <row r="151" spans="2:9" ht="26.4">
      <c r="B151" s="159"/>
      <c r="C151" s="211">
        <v>36204</v>
      </c>
      <c r="D151" s="207" t="s">
        <v>526</v>
      </c>
      <c r="E151" s="129" t="s">
        <v>2</v>
      </c>
      <c r="F151" s="314">
        <v>1</v>
      </c>
      <c r="G151" s="141">
        <v>178.6</v>
      </c>
      <c r="H151" s="141">
        <f>G151*F151</f>
        <v>178.6</v>
      </c>
      <c r="I151" s="161"/>
    </row>
    <row r="152" spans="2:9" ht="21" customHeight="1" thickBot="1">
      <c r="B152" s="159"/>
      <c r="C152" s="206">
        <v>88316</v>
      </c>
      <c r="D152" s="207" t="s">
        <v>251</v>
      </c>
      <c r="E152" s="140" t="s">
        <v>126</v>
      </c>
      <c r="F152" s="314">
        <v>0.3</v>
      </c>
      <c r="G152" s="141">
        <v>17.53</v>
      </c>
      <c r="H152" s="141">
        <f t="shared" ref="H152" si="10">ROUND(G152*F152,2)</f>
        <v>5.26</v>
      </c>
      <c r="I152" s="161"/>
    </row>
    <row r="153" spans="2:9" ht="16.2" thickBot="1">
      <c r="B153" s="159"/>
      <c r="C153" s="531" t="s">
        <v>527</v>
      </c>
      <c r="D153" s="540"/>
      <c r="E153" s="540"/>
      <c r="F153" s="541"/>
      <c r="G153" s="127" t="s">
        <v>127</v>
      </c>
      <c r="H153" s="128">
        <f>TRUNC(SUM(H151:H152),2)</f>
        <v>183.86</v>
      </c>
      <c r="I153" s="161"/>
    </row>
    <row r="154" spans="2:9" ht="9" customHeight="1" thickBot="1">
      <c r="B154" s="159"/>
      <c r="C154" s="54"/>
      <c r="D154" s="54"/>
      <c r="E154" s="54"/>
      <c r="F154" s="54"/>
      <c r="G154" s="54"/>
      <c r="H154" s="54"/>
      <c r="I154" s="161"/>
    </row>
    <row r="155" spans="2:9" ht="33" customHeight="1">
      <c r="B155" s="159"/>
      <c r="C155" s="118" t="s">
        <v>663</v>
      </c>
      <c r="D155" s="527" t="s">
        <v>528</v>
      </c>
      <c r="E155" s="527"/>
      <c r="F155" s="527"/>
      <c r="G155" s="527"/>
      <c r="H155" s="119" t="s">
        <v>72</v>
      </c>
      <c r="I155" s="161"/>
    </row>
    <row r="156" spans="2:9" ht="26.4">
      <c r="B156" s="159"/>
      <c r="C156" s="120" t="s">
        <v>145</v>
      </c>
      <c r="D156" s="115" t="s">
        <v>123</v>
      </c>
      <c r="E156" s="115" t="s">
        <v>72</v>
      </c>
      <c r="F156" s="115" t="s">
        <v>124</v>
      </c>
      <c r="G156" s="116" t="s">
        <v>129</v>
      </c>
      <c r="H156" s="117" t="s">
        <v>130</v>
      </c>
      <c r="I156" s="161"/>
    </row>
    <row r="157" spans="2:9" ht="26.4">
      <c r="B157" s="159"/>
      <c r="C157" s="211">
        <v>36205</v>
      </c>
      <c r="D157" s="207" t="s">
        <v>529</v>
      </c>
      <c r="E157" s="129" t="s">
        <v>2</v>
      </c>
      <c r="F157" s="314">
        <v>1</v>
      </c>
      <c r="G157" s="141">
        <v>198.35</v>
      </c>
      <c r="H157" s="141">
        <f>G157*F157</f>
        <v>198.35</v>
      </c>
      <c r="I157" s="161"/>
    </row>
    <row r="158" spans="2:9" ht="21" customHeight="1" thickBot="1">
      <c r="B158" s="159"/>
      <c r="C158" s="206">
        <v>88316</v>
      </c>
      <c r="D158" s="207" t="s">
        <v>251</v>
      </c>
      <c r="E158" s="140" t="s">
        <v>126</v>
      </c>
      <c r="F158" s="314">
        <v>0.3</v>
      </c>
      <c r="G158" s="141">
        <v>17.53</v>
      </c>
      <c r="H158" s="141">
        <f t="shared" ref="H158" si="11">ROUND(G158*F158,2)</f>
        <v>5.26</v>
      </c>
      <c r="I158" s="161"/>
    </row>
    <row r="159" spans="2:9" ht="16.2" thickBot="1">
      <c r="B159" s="159"/>
      <c r="C159" s="531" t="s">
        <v>527</v>
      </c>
      <c r="D159" s="540"/>
      <c r="E159" s="540"/>
      <c r="F159" s="541"/>
      <c r="G159" s="127" t="s">
        <v>127</v>
      </c>
      <c r="H159" s="128">
        <f>TRUNC(SUM(H157:H158),2)</f>
        <v>203.61</v>
      </c>
      <c r="I159" s="161"/>
    </row>
    <row r="160" spans="2:9" ht="9" customHeight="1" thickBot="1">
      <c r="B160" s="159"/>
      <c r="C160" s="54"/>
      <c r="D160" s="54"/>
      <c r="E160" s="54"/>
      <c r="F160" s="54"/>
      <c r="G160" s="54"/>
      <c r="H160" s="54"/>
      <c r="I160" s="161"/>
    </row>
    <row r="161" spans="2:9" ht="33" customHeight="1">
      <c r="B161" s="159"/>
      <c r="C161" s="118" t="s">
        <v>664</v>
      </c>
      <c r="D161" s="527" t="s">
        <v>521</v>
      </c>
      <c r="E161" s="527"/>
      <c r="F161" s="527"/>
      <c r="G161" s="527"/>
      <c r="H161" s="119" t="s">
        <v>72</v>
      </c>
      <c r="I161" s="161"/>
    </row>
    <row r="162" spans="2:9" ht="26.4">
      <c r="B162" s="159"/>
      <c r="C162" s="120" t="s">
        <v>145</v>
      </c>
      <c r="D162" s="115" t="s">
        <v>123</v>
      </c>
      <c r="E162" s="115" t="s">
        <v>72</v>
      </c>
      <c r="F162" s="115" t="s">
        <v>124</v>
      </c>
      <c r="G162" s="116" t="s">
        <v>129</v>
      </c>
      <c r="H162" s="117" t="s">
        <v>130</v>
      </c>
      <c r="I162" s="161"/>
    </row>
    <row r="163" spans="2:9" ht="26.4">
      <c r="B163" s="159"/>
      <c r="C163" s="211">
        <v>36081</v>
      </c>
      <c r="D163" s="207" t="s">
        <v>520</v>
      </c>
      <c r="E163" s="129" t="s">
        <v>2</v>
      </c>
      <c r="F163" s="314">
        <v>1</v>
      </c>
      <c r="G163" s="141">
        <v>211.49</v>
      </c>
      <c r="H163" s="141">
        <f>G163*F163</f>
        <v>211.49</v>
      </c>
      <c r="I163" s="161"/>
    </row>
    <row r="164" spans="2:9" ht="21" customHeight="1" thickBot="1">
      <c r="B164" s="159"/>
      <c r="C164" s="206">
        <v>88316</v>
      </c>
      <c r="D164" s="207" t="s">
        <v>251</v>
      </c>
      <c r="E164" s="140" t="s">
        <v>126</v>
      </c>
      <c r="F164" s="314">
        <v>0.3</v>
      </c>
      <c r="G164" s="141">
        <v>17.53</v>
      </c>
      <c r="H164" s="141">
        <f t="shared" ref="H164" si="12">ROUND(G164*F164,2)</f>
        <v>5.26</v>
      </c>
      <c r="I164" s="161"/>
    </row>
    <row r="165" spans="2:9" ht="16.2" thickBot="1">
      <c r="B165" s="159"/>
      <c r="C165" s="531" t="s">
        <v>523</v>
      </c>
      <c r="D165" s="540"/>
      <c r="E165" s="540"/>
      <c r="F165" s="541"/>
      <c r="G165" s="127" t="s">
        <v>127</v>
      </c>
      <c r="H165" s="128">
        <f>TRUNC(SUM(H163:H164),2)</f>
        <v>216.75</v>
      </c>
      <c r="I165" s="161"/>
    </row>
    <row r="166" spans="2:9" ht="13.8" thickBot="1">
      <c r="B166" s="159"/>
      <c r="C166" s="317"/>
      <c r="D166" s="318"/>
      <c r="E166" s="319"/>
      <c r="F166" s="319"/>
      <c r="G166" s="320"/>
      <c r="H166" s="320"/>
      <c r="I166" s="161"/>
    </row>
    <row r="167" spans="2:9">
      <c r="B167" s="159"/>
      <c r="C167" s="243" t="s">
        <v>667</v>
      </c>
      <c r="D167" s="534" t="s">
        <v>569</v>
      </c>
      <c r="E167" s="534"/>
      <c r="F167" s="534"/>
      <c r="G167" s="534"/>
      <c r="H167" s="244" t="s">
        <v>304</v>
      </c>
      <c r="I167" s="161"/>
    </row>
    <row r="168" spans="2:9" ht="26.4">
      <c r="B168" s="159"/>
      <c r="C168" s="245" t="s">
        <v>543</v>
      </c>
      <c r="D168" s="115" t="s">
        <v>123</v>
      </c>
      <c r="E168" s="115" t="s">
        <v>72</v>
      </c>
      <c r="F168" s="115" t="s">
        <v>124</v>
      </c>
      <c r="G168" s="116" t="s">
        <v>306</v>
      </c>
      <c r="H168" s="117" t="s">
        <v>307</v>
      </c>
      <c r="I168" s="161"/>
    </row>
    <row r="169" spans="2:9">
      <c r="B169" s="159"/>
      <c r="C169" s="528" t="s">
        <v>131</v>
      </c>
      <c r="D169" s="529"/>
      <c r="E169" s="529"/>
      <c r="F169" s="529"/>
      <c r="G169" s="529"/>
      <c r="H169" s="530"/>
      <c r="I169" s="161"/>
    </row>
    <row r="170" spans="2:9" ht="30" customHeight="1">
      <c r="B170" s="159"/>
      <c r="C170" s="321" t="s">
        <v>570</v>
      </c>
      <c r="D170" s="324" t="s">
        <v>571</v>
      </c>
      <c r="E170" s="264" t="s">
        <v>53</v>
      </c>
      <c r="F170" s="265">
        <v>1</v>
      </c>
      <c r="G170" s="266">
        <v>222.41</v>
      </c>
      <c r="H170" s="267">
        <f>TRUNC(F170*G170,2)</f>
        <v>222.41</v>
      </c>
      <c r="I170" s="161"/>
    </row>
    <row r="171" spans="2:9" ht="45.75" customHeight="1">
      <c r="B171" s="159"/>
      <c r="C171" s="246" t="s">
        <v>572</v>
      </c>
      <c r="D171" s="322" t="s">
        <v>573</v>
      </c>
      <c r="E171" s="264" t="s">
        <v>52</v>
      </c>
      <c r="F171" s="335">
        <v>0.6</v>
      </c>
      <c r="G171" s="266">
        <v>491.06</v>
      </c>
      <c r="H171" s="267">
        <f>TRUNC(F171*G171,2)</f>
        <v>294.63</v>
      </c>
      <c r="I171" s="161"/>
    </row>
    <row r="172" spans="2:9" ht="14.25" customHeight="1">
      <c r="B172" s="159"/>
      <c r="C172" s="528" t="s">
        <v>125</v>
      </c>
      <c r="D172" s="529"/>
      <c r="E172" s="529"/>
      <c r="F172" s="529"/>
      <c r="G172" s="529"/>
      <c r="H172" s="530"/>
      <c r="I172" s="161"/>
    </row>
    <row r="173" spans="2:9" ht="21" customHeight="1">
      <c r="B173" s="159"/>
      <c r="C173" s="206">
        <v>88316</v>
      </c>
      <c r="D173" s="207" t="s">
        <v>251</v>
      </c>
      <c r="E173" s="140" t="s">
        <v>126</v>
      </c>
      <c r="F173" s="314">
        <v>0.65</v>
      </c>
      <c r="G173" s="141">
        <v>17.53</v>
      </c>
      <c r="H173" s="141">
        <f t="shared" ref="H173:H174" si="13">ROUND(G173*F173,2)</f>
        <v>11.39</v>
      </c>
      <c r="I173" s="161"/>
    </row>
    <row r="174" spans="2:9" ht="13.8" thickBot="1">
      <c r="B174" s="159"/>
      <c r="C174" s="206">
        <v>88316</v>
      </c>
      <c r="D174" s="205" t="s">
        <v>133</v>
      </c>
      <c r="E174" s="140" t="s">
        <v>126</v>
      </c>
      <c r="F174" s="204">
        <v>1.1399999999999999</v>
      </c>
      <c r="G174" s="141">
        <v>14.24</v>
      </c>
      <c r="H174" s="141">
        <f t="shared" si="13"/>
        <v>16.23</v>
      </c>
      <c r="I174" s="161"/>
    </row>
    <row r="175" spans="2:9" ht="16.2" thickBot="1">
      <c r="B175" s="159"/>
      <c r="C175" s="523" t="s">
        <v>669</v>
      </c>
      <c r="D175" s="524"/>
      <c r="E175" s="524"/>
      <c r="F175" s="525"/>
      <c r="G175" s="254" t="s">
        <v>127</v>
      </c>
      <c r="H175" s="255">
        <f>SUM(H170,H171,H173,H174)</f>
        <v>544.66</v>
      </c>
      <c r="I175" s="161"/>
    </row>
    <row r="176" spans="2:9">
      <c r="B176" s="159"/>
      <c r="C176" s="317"/>
      <c r="D176" s="318"/>
      <c r="E176" s="319"/>
      <c r="F176" s="319"/>
      <c r="G176" s="320"/>
      <c r="H176" s="320"/>
      <c r="I176" s="161"/>
    </row>
    <row r="177" spans="2:9" ht="36" customHeight="1" thickBot="1">
      <c r="B177" s="159"/>
      <c r="C177" s="552" t="s">
        <v>188</v>
      </c>
      <c r="D177" s="553"/>
      <c r="E177" s="553"/>
      <c r="F177" s="553"/>
      <c r="G177" s="553"/>
      <c r="H177" s="553"/>
      <c r="I177" s="161"/>
    </row>
    <row r="178" spans="2:9" ht="13.8" thickBot="1">
      <c r="B178" s="159"/>
      <c r="C178" s="154" t="s">
        <v>674</v>
      </c>
      <c r="D178" s="526" t="s">
        <v>671</v>
      </c>
      <c r="E178" s="527"/>
      <c r="F178" s="527"/>
      <c r="G178" s="527"/>
      <c r="H178" s="119" t="s">
        <v>72</v>
      </c>
      <c r="I178" s="161"/>
    </row>
    <row r="179" spans="2:9" ht="26.4">
      <c r="B179" s="159"/>
      <c r="C179" s="153" t="s">
        <v>145</v>
      </c>
      <c r="D179" s="115" t="s">
        <v>123</v>
      </c>
      <c r="E179" s="115" t="s">
        <v>72</v>
      </c>
      <c r="F179" s="115" t="s">
        <v>124</v>
      </c>
      <c r="G179" s="116" t="s">
        <v>129</v>
      </c>
      <c r="H179" s="117" t="s">
        <v>130</v>
      </c>
      <c r="I179" s="161"/>
    </row>
    <row r="180" spans="2:9">
      <c r="B180" s="159"/>
      <c r="C180" s="528" t="s">
        <v>131</v>
      </c>
      <c r="D180" s="529"/>
      <c r="E180" s="529"/>
      <c r="F180" s="529"/>
      <c r="G180" s="529"/>
      <c r="H180" s="530"/>
      <c r="I180" s="161"/>
    </row>
    <row r="181" spans="2:9" ht="27.75" customHeight="1">
      <c r="B181" s="159"/>
      <c r="C181" s="129">
        <v>7543</v>
      </c>
      <c r="D181" s="130" t="s">
        <v>671</v>
      </c>
      <c r="E181" s="129" t="s">
        <v>2</v>
      </c>
      <c r="F181" s="131">
        <v>1</v>
      </c>
      <c r="G181" s="132">
        <v>3.74</v>
      </c>
      <c r="H181" s="133">
        <f>ROUND(F181*G181,2)</f>
        <v>3.74</v>
      </c>
      <c r="I181" s="161"/>
    </row>
    <row r="182" spans="2:9">
      <c r="B182" s="159"/>
      <c r="C182" s="528" t="s">
        <v>125</v>
      </c>
      <c r="D182" s="529"/>
      <c r="E182" s="529"/>
      <c r="F182" s="529"/>
      <c r="G182" s="529"/>
      <c r="H182" s="530"/>
      <c r="I182" s="161"/>
    </row>
    <row r="183" spans="2:9" ht="13.8" thickBot="1">
      <c r="B183" s="159"/>
      <c r="C183" s="129">
        <v>88264</v>
      </c>
      <c r="D183" s="134" t="s">
        <v>134</v>
      </c>
      <c r="E183" s="123" t="s">
        <v>126</v>
      </c>
      <c r="F183" s="124">
        <v>0.1</v>
      </c>
      <c r="G183" s="125">
        <v>18.149999999999999</v>
      </c>
      <c r="H183" s="133">
        <f>ROUND(F183*G183,2)</f>
        <v>1.82</v>
      </c>
      <c r="I183" s="161"/>
    </row>
    <row r="184" spans="2:9" ht="16.2" thickBot="1">
      <c r="B184" s="159"/>
      <c r="C184" s="531" t="s">
        <v>672</v>
      </c>
      <c r="D184" s="532"/>
      <c r="E184" s="532"/>
      <c r="F184" s="533"/>
      <c r="G184" s="127" t="s">
        <v>127</v>
      </c>
      <c r="H184" s="128">
        <f>SUM(H181:H183)</f>
        <v>5.5600000000000005</v>
      </c>
      <c r="I184" s="161"/>
    </row>
    <row r="185" spans="2:9" ht="13.8" thickBot="1">
      <c r="B185" s="159"/>
      <c r="C185" s="317"/>
      <c r="D185" s="318"/>
      <c r="E185" s="319"/>
      <c r="F185" s="319"/>
      <c r="G185" s="320"/>
      <c r="H185" s="320"/>
      <c r="I185" s="161"/>
    </row>
    <row r="186" spans="2:9" ht="13.8" thickBot="1">
      <c r="B186" s="159"/>
      <c r="C186" s="154" t="s">
        <v>675</v>
      </c>
      <c r="D186" s="526" t="s">
        <v>676</v>
      </c>
      <c r="E186" s="527"/>
      <c r="F186" s="527"/>
      <c r="G186" s="527"/>
      <c r="H186" s="119" t="s">
        <v>72</v>
      </c>
      <c r="I186" s="161"/>
    </row>
    <row r="187" spans="2:9" ht="26.4">
      <c r="B187" s="159"/>
      <c r="C187" s="153" t="s">
        <v>145</v>
      </c>
      <c r="D187" s="115" t="s">
        <v>123</v>
      </c>
      <c r="E187" s="115" t="s">
        <v>72</v>
      </c>
      <c r="F187" s="115" t="s">
        <v>124</v>
      </c>
      <c r="G187" s="116" t="s">
        <v>129</v>
      </c>
      <c r="H187" s="117" t="s">
        <v>130</v>
      </c>
      <c r="I187" s="161"/>
    </row>
    <row r="188" spans="2:9">
      <c r="B188" s="159"/>
      <c r="C188" s="528" t="s">
        <v>131</v>
      </c>
      <c r="D188" s="529"/>
      <c r="E188" s="529"/>
      <c r="F188" s="529"/>
      <c r="G188" s="529"/>
      <c r="H188" s="530"/>
      <c r="I188" s="161"/>
    </row>
    <row r="189" spans="2:9" ht="27.75" customHeight="1">
      <c r="B189" s="159"/>
      <c r="C189" s="129">
        <v>2391</v>
      </c>
      <c r="D189" s="130" t="s">
        <v>677</v>
      </c>
      <c r="E189" s="129" t="s">
        <v>2</v>
      </c>
      <c r="F189" s="131">
        <v>1</v>
      </c>
      <c r="G189" s="132">
        <v>243.13</v>
      </c>
      <c r="H189" s="133">
        <f>ROUND(F189*G189,2)</f>
        <v>243.13</v>
      </c>
      <c r="I189" s="161"/>
    </row>
    <row r="190" spans="2:9">
      <c r="B190" s="159"/>
      <c r="C190" s="528" t="s">
        <v>125</v>
      </c>
      <c r="D190" s="529"/>
      <c r="E190" s="529"/>
      <c r="F190" s="529"/>
      <c r="G190" s="529"/>
      <c r="H190" s="530"/>
      <c r="I190" s="161"/>
    </row>
    <row r="191" spans="2:9">
      <c r="B191" s="159"/>
      <c r="C191" s="129">
        <v>88264</v>
      </c>
      <c r="D191" s="134" t="s">
        <v>134</v>
      </c>
      <c r="E191" s="123" t="s">
        <v>126</v>
      </c>
      <c r="F191" s="124">
        <v>2</v>
      </c>
      <c r="G191" s="125">
        <v>18.149999999999999</v>
      </c>
      <c r="H191" s="133">
        <f>ROUND(F191*G191,2)</f>
        <v>36.299999999999997</v>
      </c>
      <c r="I191" s="161"/>
    </row>
    <row r="192" spans="2:9" ht="13.8" thickBot="1">
      <c r="B192" s="159"/>
      <c r="C192" s="122" t="s">
        <v>132</v>
      </c>
      <c r="D192" s="121" t="s">
        <v>133</v>
      </c>
      <c r="E192" s="123" t="s">
        <v>126</v>
      </c>
      <c r="F192" s="124">
        <v>2</v>
      </c>
      <c r="G192" s="135">
        <v>14.24</v>
      </c>
      <c r="H192" s="133">
        <f>ROUND(F192*G192,2)</f>
        <v>28.48</v>
      </c>
      <c r="I192" s="161"/>
    </row>
    <row r="193" spans="2:9" ht="16.2" thickBot="1">
      <c r="B193" s="159"/>
      <c r="C193" s="531" t="s">
        <v>678</v>
      </c>
      <c r="D193" s="532"/>
      <c r="E193" s="532"/>
      <c r="F193" s="533"/>
      <c r="G193" s="127" t="s">
        <v>127</v>
      </c>
      <c r="H193" s="128">
        <f>SUM(H189:H192)</f>
        <v>307.91000000000003</v>
      </c>
      <c r="I193" s="161"/>
    </row>
    <row r="194" spans="2:9" ht="7.5" customHeight="1">
      <c r="B194" s="159"/>
      <c r="C194" s="54"/>
      <c r="D194" s="54"/>
      <c r="E194" s="114"/>
      <c r="F194" s="54"/>
      <c r="G194" s="54"/>
      <c r="H194" s="54"/>
      <c r="I194" s="161"/>
    </row>
    <row r="195" spans="2:9" ht="13.8" thickBot="1">
      <c r="B195" s="159"/>
      <c r="C195" s="317"/>
      <c r="D195" s="318"/>
      <c r="E195" s="319"/>
      <c r="F195" s="319"/>
      <c r="G195" s="320"/>
      <c r="H195" s="320"/>
      <c r="I195" s="161"/>
    </row>
    <row r="196" spans="2:9" ht="13.8" thickBot="1">
      <c r="B196" s="159"/>
      <c r="C196" s="154" t="s">
        <v>680</v>
      </c>
      <c r="D196" s="526" t="s">
        <v>186</v>
      </c>
      <c r="E196" s="527"/>
      <c r="F196" s="527"/>
      <c r="G196" s="527"/>
      <c r="H196" s="119" t="s">
        <v>72</v>
      </c>
      <c r="I196" s="161"/>
    </row>
    <row r="197" spans="2:9" ht="26.4">
      <c r="B197" s="159"/>
      <c r="C197" s="153" t="s">
        <v>145</v>
      </c>
      <c r="D197" s="115" t="s">
        <v>123</v>
      </c>
      <c r="E197" s="115" t="s">
        <v>72</v>
      </c>
      <c r="F197" s="115" t="s">
        <v>124</v>
      </c>
      <c r="G197" s="116" t="s">
        <v>129</v>
      </c>
      <c r="H197" s="117" t="s">
        <v>130</v>
      </c>
      <c r="I197" s="161"/>
    </row>
    <row r="198" spans="2:9">
      <c r="B198" s="159"/>
      <c r="C198" s="528" t="s">
        <v>131</v>
      </c>
      <c r="D198" s="529"/>
      <c r="E198" s="529"/>
      <c r="F198" s="529"/>
      <c r="G198" s="529"/>
      <c r="H198" s="530"/>
      <c r="I198" s="161"/>
    </row>
    <row r="199" spans="2:9" ht="27.75" customHeight="1">
      <c r="B199" s="159"/>
      <c r="C199" s="129">
        <v>39465</v>
      </c>
      <c r="D199" s="130" t="s">
        <v>187</v>
      </c>
      <c r="E199" s="129" t="s">
        <v>2</v>
      </c>
      <c r="F199" s="131">
        <v>1</v>
      </c>
      <c r="G199" s="132">
        <v>47.49</v>
      </c>
      <c r="H199" s="133">
        <f>ROUND(F199*G199,2)</f>
        <v>47.49</v>
      </c>
      <c r="I199" s="161"/>
    </row>
    <row r="200" spans="2:9">
      <c r="B200" s="159"/>
      <c r="C200" s="528" t="s">
        <v>125</v>
      </c>
      <c r="D200" s="529"/>
      <c r="E200" s="529"/>
      <c r="F200" s="529"/>
      <c r="G200" s="529"/>
      <c r="H200" s="530"/>
      <c r="I200" s="161"/>
    </row>
    <row r="201" spans="2:9">
      <c r="B201" s="159"/>
      <c r="C201" s="129">
        <v>88264</v>
      </c>
      <c r="D201" s="134" t="s">
        <v>134</v>
      </c>
      <c r="E201" s="123" t="s">
        <v>126</v>
      </c>
      <c r="F201" s="124">
        <v>0.3</v>
      </c>
      <c r="G201" s="125">
        <v>18.149999999999999</v>
      </c>
      <c r="H201" s="133">
        <f>ROUND(F201*G201,2)</f>
        <v>5.45</v>
      </c>
      <c r="I201" s="161"/>
    </row>
    <row r="202" spans="2:9" ht="13.8" thickBot="1">
      <c r="B202" s="159"/>
      <c r="C202" s="122" t="s">
        <v>132</v>
      </c>
      <c r="D202" s="121" t="s">
        <v>133</v>
      </c>
      <c r="E202" s="123" t="s">
        <v>126</v>
      </c>
      <c r="F202" s="124">
        <v>0.3</v>
      </c>
      <c r="G202" s="135">
        <v>14.24</v>
      </c>
      <c r="H202" s="133">
        <f>ROUND(F202*G202,2)</f>
        <v>4.2699999999999996</v>
      </c>
      <c r="I202" s="161"/>
    </row>
    <row r="203" spans="2:9" ht="16.2" thickBot="1">
      <c r="B203" s="159"/>
      <c r="C203" s="531" t="s">
        <v>678</v>
      </c>
      <c r="D203" s="532"/>
      <c r="E203" s="532"/>
      <c r="F203" s="533"/>
      <c r="G203" s="127" t="s">
        <v>127</v>
      </c>
      <c r="H203" s="128">
        <f>SUM(H199:H202)</f>
        <v>57.210000000000008</v>
      </c>
      <c r="I203" s="161"/>
    </row>
    <row r="204" spans="2:9" ht="7.5" customHeight="1" thickBot="1">
      <c r="B204" s="159"/>
      <c r="C204" s="54"/>
      <c r="D204" s="54"/>
      <c r="E204" s="114"/>
      <c r="F204" s="54"/>
      <c r="G204" s="54"/>
      <c r="H204" s="54"/>
      <c r="I204" s="161"/>
    </row>
    <row r="205" spans="2:9" ht="13.8" thickBot="1">
      <c r="B205" s="159"/>
      <c r="C205" s="154" t="s">
        <v>681</v>
      </c>
      <c r="D205" s="527" t="s">
        <v>472</v>
      </c>
      <c r="E205" s="527"/>
      <c r="F205" s="527"/>
      <c r="G205" s="527"/>
      <c r="H205" s="119" t="s">
        <v>72</v>
      </c>
      <c r="I205" s="161"/>
    </row>
    <row r="206" spans="2:9" ht="26.4">
      <c r="B206" s="159"/>
      <c r="C206" s="120" t="s">
        <v>145</v>
      </c>
      <c r="D206" s="115" t="s">
        <v>123</v>
      </c>
      <c r="E206" s="115" t="s">
        <v>72</v>
      </c>
      <c r="F206" s="115" t="s">
        <v>124</v>
      </c>
      <c r="G206" s="116" t="s">
        <v>129</v>
      </c>
      <c r="H206" s="117" t="s">
        <v>130</v>
      </c>
      <c r="I206" s="161"/>
    </row>
    <row r="207" spans="2:9">
      <c r="B207" s="159"/>
      <c r="C207" s="528" t="s">
        <v>131</v>
      </c>
      <c r="D207" s="529"/>
      <c r="E207" s="529"/>
      <c r="F207" s="529"/>
      <c r="G207" s="529"/>
      <c r="H207" s="530"/>
      <c r="I207" s="161"/>
    </row>
    <row r="208" spans="2:9" ht="26.4">
      <c r="B208" s="159"/>
      <c r="C208" s="129">
        <v>39449</v>
      </c>
      <c r="D208" s="130" t="s">
        <v>472</v>
      </c>
      <c r="E208" s="129" t="s">
        <v>2</v>
      </c>
      <c r="F208" s="136">
        <v>1</v>
      </c>
      <c r="G208" s="137">
        <v>225.01</v>
      </c>
      <c r="H208" s="138">
        <f>TRUNC(F208*G208,2)</f>
        <v>225.01</v>
      </c>
      <c r="I208" s="161"/>
    </row>
    <row r="209" spans="2:9">
      <c r="B209" s="159"/>
      <c r="C209" s="528" t="s">
        <v>125</v>
      </c>
      <c r="D209" s="529"/>
      <c r="E209" s="529"/>
      <c r="F209" s="529"/>
      <c r="G209" s="529"/>
      <c r="H209" s="530"/>
      <c r="I209" s="161"/>
    </row>
    <row r="210" spans="2:9">
      <c r="B210" s="159"/>
      <c r="C210" s="129">
        <v>88264</v>
      </c>
      <c r="D210" s="134" t="s">
        <v>134</v>
      </c>
      <c r="E210" s="123" t="s">
        <v>126</v>
      </c>
      <c r="F210" s="124">
        <v>0.6</v>
      </c>
      <c r="G210" s="125">
        <v>18.149999999999999</v>
      </c>
      <c r="H210" s="126">
        <f>TRUNC(F210*G210,2)</f>
        <v>10.89</v>
      </c>
      <c r="I210" s="161"/>
    </row>
    <row r="211" spans="2:9" ht="13.8" thickBot="1">
      <c r="B211" s="159"/>
      <c r="C211" s="122" t="s">
        <v>132</v>
      </c>
      <c r="D211" s="121" t="s">
        <v>133</v>
      </c>
      <c r="E211" s="123" t="s">
        <v>126</v>
      </c>
      <c r="F211" s="124">
        <v>0.6</v>
      </c>
      <c r="G211" s="135">
        <v>14.24</v>
      </c>
      <c r="H211" s="126">
        <f>TRUNC(F211*G211,2)</f>
        <v>8.5399999999999991</v>
      </c>
      <c r="I211" s="161"/>
    </row>
    <row r="212" spans="2:9" ht="14.25" customHeight="1" thickBot="1">
      <c r="B212" s="159"/>
      <c r="C212" s="531" t="s">
        <v>682</v>
      </c>
      <c r="D212" s="532"/>
      <c r="E212" s="532"/>
      <c r="F212" s="533"/>
      <c r="G212" s="127" t="s">
        <v>127</v>
      </c>
      <c r="H212" s="128">
        <f>SUM(H208:H211)</f>
        <v>244.43999999999997</v>
      </c>
      <c r="I212" s="161"/>
    </row>
    <row r="213" spans="2:9" ht="11.25" customHeight="1" thickBot="1">
      <c r="B213" s="162"/>
      <c r="C213" s="163"/>
      <c r="D213" s="163"/>
      <c r="E213" s="163"/>
      <c r="F213" s="163"/>
      <c r="G213" s="163"/>
      <c r="H213" s="163"/>
      <c r="I213" s="164"/>
    </row>
    <row r="214" spans="2:9" ht="27.75" customHeight="1" thickBot="1">
      <c r="B214" s="159"/>
      <c r="C214" s="154" t="s">
        <v>683</v>
      </c>
      <c r="D214" s="526" t="s">
        <v>536</v>
      </c>
      <c r="E214" s="527"/>
      <c r="F214" s="527"/>
      <c r="G214" s="527"/>
      <c r="H214" s="119" t="s">
        <v>72</v>
      </c>
      <c r="I214" s="161"/>
    </row>
    <row r="215" spans="2:9" ht="26.4">
      <c r="B215" s="159"/>
      <c r="C215" s="153" t="s">
        <v>145</v>
      </c>
      <c r="D215" s="115" t="s">
        <v>123</v>
      </c>
      <c r="E215" s="115" t="s">
        <v>72</v>
      </c>
      <c r="F215" s="115" t="s">
        <v>124</v>
      </c>
      <c r="G215" s="116" t="s">
        <v>129</v>
      </c>
      <c r="H215" s="117" t="s">
        <v>130</v>
      </c>
      <c r="I215" s="161"/>
    </row>
    <row r="216" spans="2:9">
      <c r="B216" s="159"/>
      <c r="C216" s="528" t="s">
        <v>131</v>
      </c>
      <c r="D216" s="529"/>
      <c r="E216" s="529"/>
      <c r="F216" s="529"/>
      <c r="G216" s="529"/>
      <c r="H216" s="530"/>
      <c r="I216" s="161"/>
    </row>
    <row r="217" spans="2:9" ht="47.25" customHeight="1">
      <c r="B217" s="159"/>
      <c r="C217" s="211" t="s">
        <v>475</v>
      </c>
      <c r="D217" s="130" t="s">
        <v>536</v>
      </c>
      <c r="E217" s="129" t="s">
        <v>2</v>
      </c>
      <c r="F217" s="131">
        <v>1</v>
      </c>
      <c r="G217" s="132">
        <v>84.05</v>
      </c>
      <c r="H217" s="133">
        <f>ROUND(F217*G217,2)</f>
        <v>84.05</v>
      </c>
      <c r="I217" s="161"/>
    </row>
    <row r="218" spans="2:9" ht="21.75" customHeight="1">
      <c r="B218" s="159"/>
      <c r="C218" s="211">
        <v>39386</v>
      </c>
      <c r="D218" s="130" t="s">
        <v>537</v>
      </c>
      <c r="E218" s="129" t="s">
        <v>2</v>
      </c>
      <c r="F218" s="131">
        <v>2</v>
      </c>
      <c r="G218" s="132">
        <v>26.85</v>
      </c>
      <c r="H218" s="133">
        <f>ROUND(F218*G218,2)</f>
        <v>53.7</v>
      </c>
      <c r="I218" s="161"/>
    </row>
    <row r="219" spans="2:9">
      <c r="B219" s="159"/>
      <c r="C219" s="528" t="s">
        <v>125</v>
      </c>
      <c r="D219" s="529"/>
      <c r="E219" s="529"/>
      <c r="F219" s="529"/>
      <c r="G219" s="529"/>
      <c r="H219" s="530"/>
      <c r="I219" s="161"/>
    </row>
    <row r="220" spans="2:9">
      <c r="B220" s="159"/>
      <c r="C220" s="129">
        <v>88264</v>
      </c>
      <c r="D220" s="134" t="s">
        <v>134</v>
      </c>
      <c r="E220" s="123" t="s">
        <v>126</v>
      </c>
      <c r="F220" s="124">
        <v>1</v>
      </c>
      <c r="G220" s="125">
        <v>18.149999999999999</v>
      </c>
      <c r="H220" s="133">
        <f>ROUND(F220*G220,2)</f>
        <v>18.149999999999999</v>
      </c>
      <c r="I220" s="161"/>
    </row>
    <row r="221" spans="2:9" ht="13.8" thickBot="1">
      <c r="B221" s="159"/>
      <c r="C221" s="122" t="s">
        <v>132</v>
      </c>
      <c r="D221" s="121" t="s">
        <v>133</v>
      </c>
      <c r="E221" s="123" t="s">
        <v>126</v>
      </c>
      <c r="F221" s="124">
        <v>1</v>
      </c>
      <c r="G221" s="135">
        <v>14.24</v>
      </c>
      <c r="H221" s="133">
        <f>ROUND(F221*G221,2)</f>
        <v>14.24</v>
      </c>
      <c r="I221" s="161"/>
    </row>
    <row r="222" spans="2:9" ht="16.2" thickBot="1">
      <c r="B222" s="159"/>
      <c r="C222" s="531" t="s">
        <v>538</v>
      </c>
      <c r="D222" s="532"/>
      <c r="E222" s="532"/>
      <c r="F222" s="533"/>
      <c r="G222" s="127" t="s">
        <v>127</v>
      </c>
      <c r="H222" s="128">
        <f>SUM(H217:H221)</f>
        <v>170.14000000000001</v>
      </c>
      <c r="I222" s="161"/>
    </row>
    <row r="223" spans="2:9" ht="7.5" customHeight="1">
      <c r="B223" s="159"/>
      <c r="C223" s="54"/>
      <c r="D223" s="54"/>
      <c r="E223" s="114"/>
      <c r="F223" s="54"/>
      <c r="G223" s="54"/>
      <c r="H223" s="54"/>
      <c r="I223" s="161"/>
    </row>
    <row r="224" spans="2:9" ht="11.25" customHeight="1" thickBot="1">
      <c r="B224" s="162"/>
      <c r="C224" s="163"/>
      <c r="D224" s="163"/>
      <c r="E224" s="163"/>
      <c r="F224" s="163"/>
      <c r="G224" s="163"/>
      <c r="H224" s="163"/>
      <c r="I224" s="164"/>
    </row>
    <row r="225" spans="2:9" ht="27.75" customHeight="1" thickBot="1">
      <c r="B225" s="159"/>
      <c r="C225" s="154" t="s">
        <v>684</v>
      </c>
      <c r="D225" s="526" t="s">
        <v>539</v>
      </c>
      <c r="E225" s="527"/>
      <c r="F225" s="527"/>
      <c r="G225" s="527"/>
      <c r="H225" s="119" t="s">
        <v>72</v>
      </c>
      <c r="I225" s="161"/>
    </row>
    <row r="226" spans="2:9" ht="26.4">
      <c r="B226" s="159"/>
      <c r="C226" s="153" t="s">
        <v>145</v>
      </c>
      <c r="D226" s="115" t="s">
        <v>123</v>
      </c>
      <c r="E226" s="115" t="s">
        <v>72</v>
      </c>
      <c r="F226" s="115" t="s">
        <v>124</v>
      </c>
      <c r="G226" s="116" t="s">
        <v>129</v>
      </c>
      <c r="H226" s="117" t="s">
        <v>130</v>
      </c>
      <c r="I226" s="161"/>
    </row>
    <row r="227" spans="2:9">
      <c r="B227" s="159"/>
      <c r="C227" s="528" t="s">
        <v>131</v>
      </c>
      <c r="D227" s="529"/>
      <c r="E227" s="529"/>
      <c r="F227" s="529"/>
      <c r="G227" s="529"/>
      <c r="H227" s="530"/>
      <c r="I227" s="161"/>
    </row>
    <row r="228" spans="2:9" ht="47.25" customHeight="1">
      <c r="B228" s="159"/>
      <c r="C228" s="211" t="s">
        <v>477</v>
      </c>
      <c r="D228" s="130" t="s">
        <v>539</v>
      </c>
      <c r="E228" s="129" t="s">
        <v>2</v>
      </c>
      <c r="F228" s="131">
        <v>1</v>
      </c>
      <c r="G228" s="132">
        <v>122.65</v>
      </c>
      <c r="H228" s="133">
        <f>ROUND(F228*G228,2)</f>
        <v>122.65</v>
      </c>
      <c r="I228" s="161"/>
    </row>
    <row r="229" spans="2:9" ht="21.75" customHeight="1">
      <c r="B229" s="159"/>
      <c r="C229" s="211" t="s">
        <v>540</v>
      </c>
      <c r="D229" s="130" t="s">
        <v>541</v>
      </c>
      <c r="E229" s="129" t="s">
        <v>2</v>
      </c>
      <c r="F229" s="131">
        <v>2</v>
      </c>
      <c r="G229" s="132">
        <v>19.309999999999999</v>
      </c>
      <c r="H229" s="133">
        <f>ROUND(F229*G229,2)</f>
        <v>38.619999999999997</v>
      </c>
      <c r="I229" s="161"/>
    </row>
    <row r="230" spans="2:9">
      <c r="B230" s="159"/>
      <c r="C230" s="528" t="s">
        <v>125</v>
      </c>
      <c r="D230" s="529"/>
      <c r="E230" s="529"/>
      <c r="F230" s="529"/>
      <c r="G230" s="529"/>
      <c r="H230" s="530"/>
      <c r="I230" s="161"/>
    </row>
    <row r="231" spans="2:9">
      <c r="B231" s="159"/>
      <c r="C231" s="129">
        <v>88264</v>
      </c>
      <c r="D231" s="134" t="s">
        <v>134</v>
      </c>
      <c r="E231" s="123" t="s">
        <v>126</v>
      </c>
      <c r="F231" s="124">
        <v>1</v>
      </c>
      <c r="G231" s="125">
        <v>18.149999999999999</v>
      </c>
      <c r="H231" s="133">
        <f>ROUND(F231*G231,2)</f>
        <v>18.149999999999999</v>
      </c>
      <c r="I231" s="161"/>
    </row>
    <row r="232" spans="2:9" ht="13.8" thickBot="1">
      <c r="B232" s="159"/>
      <c r="C232" s="122" t="s">
        <v>132</v>
      </c>
      <c r="D232" s="121" t="s">
        <v>133</v>
      </c>
      <c r="E232" s="123" t="s">
        <v>126</v>
      </c>
      <c r="F232" s="124">
        <v>1</v>
      </c>
      <c r="G232" s="135">
        <v>14.24</v>
      </c>
      <c r="H232" s="133">
        <f>ROUND(F232*G232,2)</f>
        <v>14.24</v>
      </c>
      <c r="I232" s="161"/>
    </row>
    <row r="233" spans="2:9" ht="16.2" thickBot="1">
      <c r="B233" s="159"/>
      <c r="C233" s="531" t="s">
        <v>538</v>
      </c>
      <c r="D233" s="532"/>
      <c r="E233" s="532"/>
      <c r="F233" s="533"/>
      <c r="G233" s="127" t="s">
        <v>127</v>
      </c>
      <c r="H233" s="128">
        <f>SUM(H228:H232)</f>
        <v>193.66000000000003</v>
      </c>
      <c r="I233" s="161"/>
    </row>
    <row r="234" spans="2:9" ht="13.8" thickBot="1">
      <c r="B234" s="162"/>
      <c r="C234" s="163"/>
      <c r="D234" s="163"/>
      <c r="E234" s="163"/>
      <c r="F234" s="163"/>
      <c r="G234" s="163"/>
      <c r="H234" s="163"/>
      <c r="I234" s="164"/>
    </row>
  </sheetData>
  <mergeCells count="83">
    <mergeCell ref="C129:F129"/>
    <mergeCell ref="C177:H177"/>
    <mergeCell ref="C209:H209"/>
    <mergeCell ref="C212:F212"/>
    <mergeCell ref="D196:G196"/>
    <mergeCell ref="C198:H198"/>
    <mergeCell ref="C200:H200"/>
    <mergeCell ref="C203:F203"/>
    <mergeCell ref="D205:G205"/>
    <mergeCell ref="C207:H207"/>
    <mergeCell ref="D143:G143"/>
    <mergeCell ref="C3:H3"/>
    <mergeCell ref="C4:H4"/>
    <mergeCell ref="C5:H5"/>
    <mergeCell ref="D7:G7"/>
    <mergeCell ref="C9:H9"/>
    <mergeCell ref="C12:F12"/>
    <mergeCell ref="C75:H75"/>
    <mergeCell ref="C77:H77"/>
    <mergeCell ref="C80:F80"/>
    <mergeCell ref="D83:G83"/>
    <mergeCell ref="C85:H85"/>
    <mergeCell ref="C88:H88"/>
    <mergeCell ref="C90:F90"/>
    <mergeCell ref="D93:G93"/>
    <mergeCell ref="D123:G123"/>
    <mergeCell ref="C227:H227"/>
    <mergeCell ref="C230:H230"/>
    <mergeCell ref="C233:F233"/>
    <mergeCell ref="D167:G167"/>
    <mergeCell ref="C169:H169"/>
    <mergeCell ref="C172:H172"/>
    <mergeCell ref="C175:F175"/>
    <mergeCell ref="D186:G186"/>
    <mergeCell ref="C188:H188"/>
    <mergeCell ref="C190:H190"/>
    <mergeCell ref="C193:F193"/>
    <mergeCell ref="D214:G214"/>
    <mergeCell ref="C216:H216"/>
    <mergeCell ref="C219:H219"/>
    <mergeCell ref="C222:F222"/>
    <mergeCell ref="D225:G225"/>
    <mergeCell ref="D73:G73"/>
    <mergeCell ref="D15:G15"/>
    <mergeCell ref="C17:H17"/>
    <mergeCell ref="C28:H28"/>
    <mergeCell ref="C31:F31"/>
    <mergeCell ref="D33:G33"/>
    <mergeCell ref="C35:H35"/>
    <mergeCell ref="C46:H46"/>
    <mergeCell ref="C51:F51"/>
    <mergeCell ref="D53:G53"/>
    <mergeCell ref="C61:F61"/>
    <mergeCell ref="D63:G63"/>
    <mergeCell ref="C65:H65"/>
    <mergeCell ref="C69:H69"/>
    <mergeCell ref="C71:F71"/>
    <mergeCell ref="C95:H95"/>
    <mergeCell ref="C99:H99"/>
    <mergeCell ref="C102:F102"/>
    <mergeCell ref="D105:G105"/>
    <mergeCell ref="C107:H107"/>
    <mergeCell ref="C110:H110"/>
    <mergeCell ref="C112:F112"/>
    <mergeCell ref="D115:G115"/>
    <mergeCell ref="C117:H117"/>
    <mergeCell ref="C119:H119"/>
    <mergeCell ref="C122:F122"/>
    <mergeCell ref="D178:G178"/>
    <mergeCell ref="C180:H180"/>
    <mergeCell ref="C182:H182"/>
    <mergeCell ref="C184:F184"/>
    <mergeCell ref="C147:F147"/>
    <mergeCell ref="D161:G161"/>
    <mergeCell ref="C165:F165"/>
    <mergeCell ref="D149:G149"/>
    <mergeCell ref="C153:F153"/>
    <mergeCell ref="D155:G155"/>
    <mergeCell ref="C159:F159"/>
    <mergeCell ref="D131:G131"/>
    <mergeCell ref="C135:F135"/>
    <mergeCell ref="D137:G137"/>
    <mergeCell ref="C141:F141"/>
  </mergeCells>
  <conditionalFormatting sqref="C109">
    <cfRule type="expression" dxfId="19" priority="41" stopIfTrue="1">
      <formula>AND($B109&lt;&gt;"COMPOSICAO",$B109&lt;&gt;"INSUMO",$B109&lt;&gt;"")</formula>
    </cfRule>
    <cfRule type="expression" dxfId="18" priority="42" stopIfTrue="1">
      <formula>AND(OR($B109="COMPOSICAO",$B109="INSUMO",$B109&lt;&gt;""),$B109&lt;&gt;"")</formula>
    </cfRule>
  </conditionalFormatting>
  <conditionalFormatting sqref="C171">
    <cfRule type="expression" dxfId="17" priority="23" stopIfTrue="1">
      <formula>AND($B171&lt;&gt;"COMPOSICAO",$B171&lt;&gt;"INSUMO",$B171&lt;&gt;"")</formula>
    </cfRule>
    <cfRule type="expression" dxfId="16" priority="24" stopIfTrue="1">
      <formula>AND(OR($B171="COMPOSICAO",$B171="INSUMO",$B171&lt;&gt;""),$B171&lt;&gt;"")</formula>
    </cfRule>
  </conditionalFormatting>
  <conditionalFormatting sqref="D66">
    <cfRule type="expression" dxfId="15" priority="21" stopIfTrue="1">
      <formula>AND($B66&lt;&gt;"COMPOSICAO",$B66&lt;&gt;"INSUMO",$B66&lt;&gt;"")</formula>
    </cfRule>
    <cfRule type="expression" dxfId="14" priority="22" stopIfTrue="1">
      <formula>AND(OR($B66="COMPOSICAO",$B66="INSUMO",$B66&lt;&gt;""),$B66&lt;&gt;"")</formula>
    </cfRule>
  </conditionalFormatting>
  <conditionalFormatting sqref="C66">
    <cfRule type="expression" dxfId="13" priority="19" stopIfTrue="1">
      <formula>AND($B66&lt;&gt;"COMPOSICAO",$B66&lt;&gt;"INSUMO",$B66&lt;&gt;"")</formula>
    </cfRule>
    <cfRule type="expression" dxfId="12" priority="20" stopIfTrue="1">
      <formula>AND(OR($B66="COMPOSICAO",$B66="INSUMO",$B66&lt;&gt;""),$B66&lt;&gt;"")</formula>
    </cfRule>
  </conditionalFormatting>
  <conditionalFormatting sqref="D67">
    <cfRule type="expression" dxfId="11" priority="17" stopIfTrue="1">
      <formula>AND($B67&lt;&gt;"COMPOSICAO",$B67&lt;&gt;"INSUMO",$B67&lt;&gt;"")</formula>
    </cfRule>
    <cfRule type="expression" dxfId="10" priority="18" stopIfTrue="1">
      <formula>AND(OR($B67="COMPOSICAO",$B67="INSUMO",$B67&lt;&gt;""),$B67&lt;&gt;"")</formula>
    </cfRule>
  </conditionalFormatting>
  <conditionalFormatting sqref="C67">
    <cfRule type="expression" dxfId="9" priority="15" stopIfTrue="1">
      <formula>AND($B67&lt;&gt;"COMPOSICAO",$B67&lt;&gt;"INSUMO",$B67&lt;&gt;"")</formula>
    </cfRule>
    <cfRule type="expression" dxfId="8" priority="16" stopIfTrue="1">
      <formula>AND(OR($B67="COMPOSICAO",$B67="INSUMO",$B67&lt;&gt;""),$B67&lt;&gt;"")</formula>
    </cfRule>
  </conditionalFormatting>
  <conditionalFormatting sqref="D68">
    <cfRule type="expression" dxfId="7" priority="13" stopIfTrue="1">
      <formula>AND($B68&lt;&gt;"COMPOSICAO",$B68&lt;&gt;"INSUMO",$B68&lt;&gt;"")</formula>
    </cfRule>
    <cfRule type="expression" dxfId="6" priority="14" stopIfTrue="1">
      <formula>AND(OR($B68="COMPOSICAO",$B68="INSUMO",$B68&lt;&gt;""),$B68&lt;&gt;"")</formula>
    </cfRule>
  </conditionalFormatting>
  <conditionalFormatting sqref="C68">
    <cfRule type="expression" dxfId="5" priority="11" stopIfTrue="1">
      <formula>AND($B68&lt;&gt;"COMPOSICAO",$B68&lt;&gt;"INSUMO",$B68&lt;&gt;"")</formula>
    </cfRule>
    <cfRule type="expression" dxfId="4" priority="12" stopIfTrue="1">
      <formula>AND(OR($B68="COMPOSICAO",$B68="INSUMO",$B68&lt;&gt;""),$B68&lt;&gt;"")</formula>
    </cfRule>
  </conditionalFormatting>
  <conditionalFormatting sqref="C87">
    <cfRule type="expression" dxfId="3" priority="9" stopIfTrue="1">
      <formula>AND($B87&lt;&gt;"COMPOSICAO",$B87&lt;&gt;"INSUMO",$B87&lt;&gt;"")</formula>
    </cfRule>
    <cfRule type="expression" dxfId="2" priority="10" stopIfTrue="1">
      <formula>AND(OR($B87="COMPOSICAO",$B87="INSUMO",$B87&lt;&gt;""),$B87&lt;&gt;"")</formula>
    </cfRule>
  </conditionalFormatting>
  <conditionalFormatting sqref="C97:C98">
    <cfRule type="expression" dxfId="1" priority="7" stopIfTrue="1">
      <formula>AND($B97&lt;&gt;"COMPOSICAO",$B97&lt;&gt;"INSUMO",$B97&lt;&gt;"")</formula>
    </cfRule>
    <cfRule type="expression" dxfId="0" priority="8" stopIfTrue="1">
      <formula>AND(OR($B97="COMPOSICAO",$B97="INSUMO",$B97&lt;&gt;""),$B97&lt;&gt;"")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rowBreaks count="4" manualBreakCount="4">
    <brk id="32" min="1" max="8" man="1"/>
    <brk id="62" min="1" max="8" man="1"/>
    <brk id="92" min="1" max="8" man="1"/>
    <brk id="176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6:K62"/>
  <sheetViews>
    <sheetView workbookViewId="0">
      <selection activeCell="H22" sqref="H22"/>
    </sheetView>
  </sheetViews>
  <sheetFormatPr defaultRowHeight="13.2"/>
  <cols>
    <col min="1" max="1" width="26.5546875" customWidth="1"/>
    <col min="3" max="4" width="15" customWidth="1"/>
    <col min="5" max="5" width="12.6640625" customWidth="1"/>
    <col min="7" max="7" width="12.6640625" customWidth="1"/>
    <col min="8" max="8" width="19.109375" customWidth="1"/>
    <col min="10" max="10" width="14.5546875" customWidth="1"/>
    <col min="11" max="11" width="13.88671875" customWidth="1"/>
  </cols>
  <sheetData>
    <row r="6" spans="1:11">
      <c r="A6" s="271" t="s">
        <v>322</v>
      </c>
      <c r="B6" s="271" t="s">
        <v>335</v>
      </c>
      <c r="C6" s="271" t="s">
        <v>336</v>
      </c>
      <c r="D6" s="274" t="s">
        <v>342</v>
      </c>
      <c r="E6" s="271" t="s">
        <v>337</v>
      </c>
      <c r="F6" s="274" t="s">
        <v>342</v>
      </c>
      <c r="G6" s="271" t="s">
        <v>338</v>
      </c>
      <c r="H6" s="271" t="s">
        <v>339</v>
      </c>
      <c r="I6" s="271" t="s">
        <v>340</v>
      </c>
      <c r="J6" s="274" t="s">
        <v>341</v>
      </c>
      <c r="K6" s="275" t="s">
        <v>348</v>
      </c>
    </row>
    <row r="7" spans="1:11">
      <c r="A7" s="272" t="s">
        <v>323</v>
      </c>
      <c r="B7" s="272">
        <v>48.59</v>
      </c>
      <c r="C7" s="272">
        <v>0.06</v>
      </c>
      <c r="D7" s="272">
        <f>B7*C7</f>
        <v>2.9154</v>
      </c>
      <c r="E7" s="272">
        <v>0.03</v>
      </c>
      <c r="F7" s="272">
        <f>B7*E7</f>
        <v>1.4577</v>
      </c>
      <c r="G7" s="272">
        <f>B7</f>
        <v>48.59</v>
      </c>
      <c r="H7" s="271"/>
      <c r="I7" s="271"/>
      <c r="J7" s="271"/>
      <c r="K7" s="271">
        <f>6.25+6.7+0.6+0.2+0.2+3.25+0.45+0.15+0.45+2.25+7.9</f>
        <v>28.399999999999991</v>
      </c>
    </row>
    <row r="8" spans="1:11">
      <c r="A8" s="272" t="s">
        <v>324</v>
      </c>
      <c r="B8" s="272">
        <v>48.68</v>
      </c>
      <c r="C8" s="272">
        <v>0.06</v>
      </c>
      <c r="D8" s="272">
        <f t="shared" ref="D8:D18" si="0">B8*C8</f>
        <v>2.9207999999999998</v>
      </c>
      <c r="E8" s="272">
        <v>0.03</v>
      </c>
      <c r="F8" s="272">
        <f t="shared" ref="F8:F18" si="1">B8*E8</f>
        <v>1.4603999999999999</v>
      </c>
      <c r="G8" s="272">
        <f t="shared" ref="G8:G10" si="2">B8</f>
        <v>48.68</v>
      </c>
      <c r="H8" s="271"/>
      <c r="I8" s="271"/>
      <c r="J8" s="271"/>
      <c r="K8" s="271">
        <f>6.25+6.7+0.6+0.2+0.2+3.25+0.45+0.15+0.45+2.25+7.9</f>
        <v>28.399999999999991</v>
      </c>
    </row>
    <row r="9" spans="1:11">
      <c r="A9" s="272" t="s">
        <v>325</v>
      </c>
      <c r="B9" s="272">
        <v>48.59</v>
      </c>
      <c r="C9" s="272">
        <v>0.06</v>
      </c>
      <c r="D9" s="272">
        <f t="shared" si="0"/>
        <v>2.9154</v>
      </c>
      <c r="E9" s="272">
        <v>0.03</v>
      </c>
      <c r="F9" s="272">
        <f t="shared" si="1"/>
        <v>1.4577</v>
      </c>
      <c r="G9" s="272">
        <f t="shared" si="2"/>
        <v>48.59</v>
      </c>
      <c r="H9" s="271"/>
      <c r="I9" s="271"/>
      <c r="J9" s="271"/>
      <c r="K9" s="271">
        <f>2.25+0.45+0.15+0.45+3.85+7.8+6.25+7.8</f>
        <v>29</v>
      </c>
    </row>
    <row r="10" spans="1:11">
      <c r="A10" s="272" t="s">
        <v>326</v>
      </c>
      <c r="B10" s="272">
        <v>48.68</v>
      </c>
      <c r="C10" s="272">
        <v>0.06</v>
      </c>
      <c r="D10" s="272">
        <f t="shared" si="0"/>
        <v>2.9207999999999998</v>
      </c>
      <c r="E10" s="272">
        <v>0.03</v>
      </c>
      <c r="F10" s="272">
        <f t="shared" si="1"/>
        <v>1.4603999999999999</v>
      </c>
      <c r="G10" s="272">
        <f t="shared" si="2"/>
        <v>48.68</v>
      </c>
      <c r="H10" s="271"/>
      <c r="I10" s="271"/>
      <c r="J10" s="271"/>
      <c r="K10" s="271">
        <f>2.25+0.45+0.15+0.45+3.85+7.8+6.25+7.8</f>
        <v>29</v>
      </c>
    </row>
    <row r="11" spans="1:11">
      <c r="A11" s="273" t="s">
        <v>327</v>
      </c>
      <c r="B11" s="273">
        <v>7.5</v>
      </c>
      <c r="C11" s="273">
        <v>0.06</v>
      </c>
      <c r="D11" s="273">
        <f t="shared" si="0"/>
        <v>0.44999999999999996</v>
      </c>
      <c r="E11" s="273">
        <v>0.03</v>
      </c>
      <c r="F11" s="273">
        <f t="shared" si="1"/>
        <v>0.22499999999999998</v>
      </c>
      <c r="G11" s="273"/>
      <c r="H11" s="273">
        <f>B11</f>
        <v>7.5</v>
      </c>
      <c r="I11" s="271"/>
      <c r="J11" s="271"/>
      <c r="K11" s="271"/>
    </row>
    <row r="12" spans="1:11">
      <c r="A12" s="273" t="s">
        <v>328</v>
      </c>
      <c r="B12" s="273">
        <v>16.02</v>
      </c>
      <c r="C12" s="273">
        <v>0.06</v>
      </c>
      <c r="D12" s="273">
        <f t="shared" si="0"/>
        <v>0.96119999999999994</v>
      </c>
      <c r="E12" s="273">
        <v>0.03</v>
      </c>
      <c r="F12" s="273">
        <f t="shared" si="1"/>
        <v>0.48059999999999997</v>
      </c>
      <c r="G12" s="273"/>
      <c r="H12" s="273">
        <f t="shared" ref="H12:H16" si="3">B12</f>
        <v>16.02</v>
      </c>
      <c r="I12" s="271"/>
      <c r="J12" s="271"/>
      <c r="K12" s="271"/>
    </row>
    <row r="13" spans="1:11">
      <c r="A13" s="273" t="s">
        <v>329</v>
      </c>
      <c r="B13" s="273">
        <v>16.02</v>
      </c>
      <c r="C13" s="273">
        <v>0.06</v>
      </c>
      <c r="D13" s="273">
        <f t="shared" si="0"/>
        <v>0.96119999999999994</v>
      </c>
      <c r="E13" s="273">
        <v>0.03</v>
      </c>
      <c r="F13" s="273">
        <f t="shared" si="1"/>
        <v>0.48059999999999997</v>
      </c>
      <c r="G13" s="273"/>
      <c r="H13" s="273">
        <f t="shared" si="3"/>
        <v>16.02</v>
      </c>
      <c r="I13" s="271"/>
      <c r="J13" s="271"/>
      <c r="K13" s="271"/>
    </row>
    <row r="14" spans="1:11">
      <c r="A14" s="271" t="s">
        <v>330</v>
      </c>
      <c r="B14" s="271">
        <v>73.02</v>
      </c>
      <c r="C14" s="271">
        <v>0.06</v>
      </c>
      <c r="D14" s="271">
        <f t="shared" si="0"/>
        <v>4.3811999999999998</v>
      </c>
      <c r="E14" s="271">
        <v>0.03</v>
      </c>
      <c r="F14" s="271">
        <f t="shared" si="1"/>
        <v>2.1905999999999999</v>
      </c>
      <c r="G14" s="271"/>
      <c r="H14" s="271"/>
      <c r="I14" s="271">
        <f>B14</f>
        <v>73.02</v>
      </c>
      <c r="J14" s="271"/>
      <c r="K14" s="271"/>
    </row>
    <row r="15" spans="1:11">
      <c r="A15" s="271" t="s">
        <v>331</v>
      </c>
      <c r="B15" s="271">
        <v>3.44</v>
      </c>
      <c r="C15" s="271">
        <v>0.06</v>
      </c>
      <c r="D15" s="271">
        <f t="shared" si="0"/>
        <v>0.2064</v>
      </c>
      <c r="E15" s="271">
        <v>0.03</v>
      </c>
      <c r="F15" s="271">
        <f t="shared" si="1"/>
        <v>0.1032</v>
      </c>
      <c r="G15" s="271"/>
      <c r="H15" s="271"/>
      <c r="I15" s="271">
        <f>B15</f>
        <v>3.44</v>
      </c>
      <c r="J15" s="271"/>
      <c r="K15" s="271"/>
    </row>
    <row r="16" spans="1:11">
      <c r="A16" s="273" t="s">
        <v>332</v>
      </c>
      <c r="B16" s="273">
        <v>8.6999999999999993</v>
      </c>
      <c r="C16" s="273">
        <v>0.06</v>
      </c>
      <c r="D16" s="273">
        <f t="shared" si="0"/>
        <v>0.52199999999999991</v>
      </c>
      <c r="E16" s="273">
        <v>0.03</v>
      </c>
      <c r="F16" s="273">
        <f t="shared" si="1"/>
        <v>0.26099999999999995</v>
      </c>
      <c r="G16" s="273"/>
      <c r="H16" s="273">
        <f t="shared" si="3"/>
        <v>8.6999999999999993</v>
      </c>
      <c r="I16" s="271"/>
      <c r="J16" s="271"/>
      <c r="K16" s="271"/>
    </row>
    <row r="17" spans="1:11">
      <c r="A17" s="271" t="s">
        <v>333</v>
      </c>
      <c r="B17" s="271">
        <v>168.4</v>
      </c>
      <c r="C17" s="271">
        <v>0.06</v>
      </c>
      <c r="D17" s="271">
        <f t="shared" si="0"/>
        <v>10.103999999999999</v>
      </c>
      <c r="E17" s="271">
        <v>0.03</v>
      </c>
      <c r="F17" s="271">
        <f t="shared" si="1"/>
        <v>5.0519999999999996</v>
      </c>
      <c r="G17" s="271"/>
      <c r="H17" s="271"/>
      <c r="I17" s="271"/>
      <c r="J17" s="271">
        <f>B17</f>
        <v>168.4</v>
      </c>
      <c r="K17" s="271"/>
    </row>
    <row r="18" spans="1:11">
      <c r="A18" s="271" t="s">
        <v>334</v>
      </c>
      <c r="B18" s="271">
        <v>31.53</v>
      </c>
      <c r="C18" s="271">
        <v>0.06</v>
      </c>
      <c r="D18" s="271">
        <f t="shared" si="0"/>
        <v>1.8917999999999999</v>
      </c>
      <c r="E18" s="271">
        <v>0.03</v>
      </c>
      <c r="F18" s="271">
        <f t="shared" si="1"/>
        <v>0.94589999999999996</v>
      </c>
      <c r="G18" s="271"/>
      <c r="H18" s="271"/>
      <c r="I18" s="271"/>
      <c r="J18" s="271">
        <f>B18</f>
        <v>31.53</v>
      </c>
      <c r="K18" s="271"/>
    </row>
    <row r="19" spans="1:11">
      <c r="A19" s="271"/>
      <c r="B19" s="271"/>
      <c r="C19" s="271"/>
      <c r="D19" s="223">
        <f>SUM(D7:D18)</f>
        <v>31.150199999999995</v>
      </c>
      <c r="E19" s="223"/>
      <c r="F19" s="223">
        <f t="shared" ref="F19" si="4">SUM(F7:F18)</f>
        <v>15.575099999999997</v>
      </c>
      <c r="G19" s="271">
        <f>SUM(G7:G18)</f>
        <v>194.54000000000002</v>
      </c>
      <c r="H19" s="271">
        <f>SUM(H7:H18)</f>
        <v>48.239999999999995</v>
      </c>
      <c r="I19" s="271">
        <f t="shared" ref="I19:J19" si="5">SUM(I7:I18)</f>
        <v>76.459999999999994</v>
      </c>
      <c r="J19" s="271">
        <f t="shared" si="5"/>
        <v>199.93</v>
      </c>
      <c r="K19" s="276">
        <f>SUM(K7:K18)</f>
        <v>114.79999999999998</v>
      </c>
    </row>
    <row r="21" spans="1:11">
      <c r="A21" t="s">
        <v>358</v>
      </c>
    </row>
    <row r="22" spans="1:11">
      <c r="A22" t="s">
        <v>351</v>
      </c>
    </row>
    <row r="23" spans="1:11">
      <c r="A23" t="s">
        <v>352</v>
      </c>
      <c r="B23" s="279">
        <v>4</v>
      </c>
      <c r="C23" s="279">
        <v>1</v>
      </c>
      <c r="D23" s="279">
        <v>0.7</v>
      </c>
      <c r="E23">
        <f>2*0.1</f>
        <v>0.2</v>
      </c>
      <c r="F23" s="280">
        <f>B23*(D23+E23)</f>
        <v>3.5999999999999996</v>
      </c>
    </row>
    <row r="24" spans="1:11">
      <c r="A24" t="s">
        <v>353</v>
      </c>
      <c r="B24" s="279">
        <v>4</v>
      </c>
      <c r="C24" s="279">
        <v>1</v>
      </c>
      <c r="D24" s="279">
        <v>0.8</v>
      </c>
      <c r="E24">
        <f t="shared" ref="E24:E26" si="6">2*0.1</f>
        <v>0.2</v>
      </c>
      <c r="F24" s="280">
        <f t="shared" ref="F24:F26" si="7">B24*(D24+E24)</f>
        <v>4</v>
      </c>
    </row>
    <row r="25" spans="1:11">
      <c r="A25" t="s">
        <v>354</v>
      </c>
      <c r="B25" s="279">
        <v>1</v>
      </c>
      <c r="C25" s="279">
        <v>1</v>
      </c>
      <c r="D25" s="279">
        <v>0.8</v>
      </c>
      <c r="E25">
        <f t="shared" si="6"/>
        <v>0.2</v>
      </c>
      <c r="F25" s="280">
        <f t="shared" si="7"/>
        <v>1</v>
      </c>
    </row>
    <row r="26" spans="1:11">
      <c r="A26" t="s">
        <v>355</v>
      </c>
      <c r="B26" s="279">
        <v>1</v>
      </c>
      <c r="C26" s="279">
        <v>1</v>
      </c>
      <c r="D26" s="279">
        <v>0.8</v>
      </c>
      <c r="E26">
        <f t="shared" si="6"/>
        <v>0.2</v>
      </c>
      <c r="F26" s="280">
        <f t="shared" si="7"/>
        <v>1</v>
      </c>
    </row>
    <row r="27" spans="1:11">
      <c r="B27" s="279"/>
      <c r="C27" s="279"/>
      <c r="D27" s="279"/>
      <c r="E27" t="s">
        <v>368</v>
      </c>
      <c r="F27" s="280">
        <f>SUM(F23:F26)</f>
        <v>9.6</v>
      </c>
    </row>
    <row r="28" spans="1:11">
      <c r="A28" t="s">
        <v>356</v>
      </c>
      <c r="B28" s="279">
        <v>1</v>
      </c>
      <c r="C28" s="279">
        <v>1</v>
      </c>
      <c r="D28" s="279">
        <v>2.5</v>
      </c>
      <c r="E28">
        <f>2*0.2</f>
        <v>0.4</v>
      </c>
      <c r="F28" s="280">
        <f>B28*(D28+E28)</f>
        <v>2.9</v>
      </c>
    </row>
    <row r="29" spans="1:11">
      <c r="B29" s="279"/>
      <c r="C29" s="279"/>
      <c r="D29" s="279"/>
      <c r="E29" t="s">
        <v>368</v>
      </c>
      <c r="F29" s="280">
        <f>SUM(F28)</f>
        <v>2.9</v>
      </c>
    </row>
    <row r="30" spans="1:11">
      <c r="A30" t="s">
        <v>357</v>
      </c>
      <c r="B30" s="279"/>
      <c r="C30" s="279"/>
      <c r="D30" s="279"/>
      <c r="F30" s="280"/>
    </row>
    <row r="31" spans="1:11">
      <c r="A31" t="s">
        <v>363</v>
      </c>
      <c r="B31" s="279">
        <v>1</v>
      </c>
      <c r="C31" s="279">
        <v>2</v>
      </c>
      <c r="D31" s="279">
        <v>0.7</v>
      </c>
      <c r="E31">
        <f>4*0.1</f>
        <v>0.4</v>
      </c>
      <c r="F31" s="280">
        <f>B31*(D31+E31)</f>
        <v>1.1000000000000001</v>
      </c>
    </row>
    <row r="32" spans="1:11">
      <c r="B32" s="279"/>
      <c r="C32" s="279"/>
      <c r="D32" s="279"/>
      <c r="E32" t="s">
        <v>368</v>
      </c>
      <c r="F32" s="280">
        <f>SUM(F31)</f>
        <v>1.1000000000000001</v>
      </c>
    </row>
    <row r="33" spans="1:7">
      <c r="A33" t="s">
        <v>359</v>
      </c>
      <c r="B33" s="279">
        <v>8</v>
      </c>
      <c r="C33" s="279">
        <v>2</v>
      </c>
      <c r="D33" s="279">
        <v>2</v>
      </c>
      <c r="E33">
        <f>4*0.2</f>
        <v>0.8</v>
      </c>
      <c r="F33" s="280">
        <f>B33*(D33+E33)</f>
        <v>22.4</v>
      </c>
    </row>
    <row r="34" spans="1:7">
      <c r="A34" t="s">
        <v>360</v>
      </c>
      <c r="B34" s="279">
        <v>2</v>
      </c>
      <c r="C34" s="279">
        <v>2</v>
      </c>
      <c r="D34" s="279">
        <v>2</v>
      </c>
      <c r="E34">
        <f t="shared" ref="E34:E39" si="8">4*0.2</f>
        <v>0.8</v>
      </c>
      <c r="F34" s="280">
        <f t="shared" ref="F34:F39" si="9">B34*(D34+E34)</f>
        <v>5.6</v>
      </c>
    </row>
    <row r="35" spans="1:7">
      <c r="A35" t="s">
        <v>361</v>
      </c>
      <c r="B35" s="279">
        <v>2</v>
      </c>
      <c r="C35" s="279">
        <v>2</v>
      </c>
      <c r="D35" s="279">
        <v>4</v>
      </c>
      <c r="E35">
        <f t="shared" si="8"/>
        <v>0.8</v>
      </c>
      <c r="F35" s="280">
        <f t="shared" si="9"/>
        <v>9.6</v>
      </c>
    </row>
    <row r="36" spans="1:7">
      <c r="A36" t="s">
        <v>362</v>
      </c>
      <c r="B36" s="279">
        <v>4</v>
      </c>
      <c r="C36" s="279">
        <v>2</v>
      </c>
      <c r="D36" s="279">
        <v>1.6</v>
      </c>
      <c r="E36">
        <f t="shared" si="8"/>
        <v>0.8</v>
      </c>
      <c r="F36" s="280">
        <f t="shared" si="9"/>
        <v>9.6000000000000014</v>
      </c>
    </row>
    <row r="37" spans="1:7">
      <c r="A37" t="s">
        <v>364</v>
      </c>
      <c r="B37" s="279">
        <v>2</v>
      </c>
      <c r="C37" s="279">
        <v>2</v>
      </c>
      <c r="D37" s="279">
        <v>2.1</v>
      </c>
      <c r="E37">
        <f t="shared" si="8"/>
        <v>0.8</v>
      </c>
      <c r="F37" s="280">
        <f t="shared" si="9"/>
        <v>5.8000000000000007</v>
      </c>
    </row>
    <row r="38" spans="1:7">
      <c r="A38" t="s">
        <v>365</v>
      </c>
      <c r="B38" s="279">
        <v>1</v>
      </c>
      <c r="C38" s="279">
        <v>2</v>
      </c>
      <c r="D38" s="279">
        <v>2.1</v>
      </c>
      <c r="E38">
        <f t="shared" si="8"/>
        <v>0.8</v>
      </c>
      <c r="F38" s="280">
        <f t="shared" si="9"/>
        <v>2.9000000000000004</v>
      </c>
    </row>
    <row r="39" spans="1:7">
      <c r="A39" t="s">
        <v>366</v>
      </c>
      <c r="B39" s="279">
        <v>1</v>
      </c>
      <c r="C39" s="279">
        <v>2</v>
      </c>
      <c r="D39" s="279">
        <v>2</v>
      </c>
      <c r="E39">
        <f t="shared" si="8"/>
        <v>0.8</v>
      </c>
      <c r="F39" s="280">
        <f t="shared" si="9"/>
        <v>2.8</v>
      </c>
    </row>
    <row r="40" spans="1:7">
      <c r="E40" t="s">
        <v>367</v>
      </c>
      <c r="F40" s="280">
        <f>SUM(F33:F39)</f>
        <v>58.699999999999996</v>
      </c>
    </row>
    <row r="44" spans="1:7">
      <c r="A44" s="284" t="s">
        <v>80</v>
      </c>
      <c r="B44" s="284" t="s">
        <v>426</v>
      </c>
      <c r="C44" s="284" t="s">
        <v>427</v>
      </c>
      <c r="D44" s="284" t="s">
        <v>428</v>
      </c>
      <c r="F44" s="284" t="s">
        <v>429</v>
      </c>
    </row>
    <row r="45" spans="1:7">
      <c r="A45" s="284" t="s">
        <v>423</v>
      </c>
      <c r="B45">
        <v>21.7</v>
      </c>
      <c r="C45">
        <v>4.5999999999999996</v>
      </c>
      <c r="D45">
        <f>B45*C45</f>
        <v>99.82</v>
      </c>
      <c r="F45">
        <v>12.58</v>
      </c>
      <c r="G45">
        <f>D45-F45</f>
        <v>87.24</v>
      </c>
    </row>
    <row r="46" spans="1:7">
      <c r="A46" s="284" t="s">
        <v>424</v>
      </c>
      <c r="B46">
        <v>15.5</v>
      </c>
      <c r="C46">
        <v>4.5999999999999996</v>
      </c>
      <c r="D46">
        <f t="shared" ref="D46:D54" si="10">B46*C46</f>
        <v>71.3</v>
      </c>
      <c r="F46">
        <v>5.5</v>
      </c>
      <c r="G46">
        <f t="shared" ref="G46:G54" si="11">D46-F46</f>
        <v>65.8</v>
      </c>
    </row>
    <row r="47" spans="1:7">
      <c r="A47" s="284" t="s">
        <v>425</v>
      </c>
      <c r="B47">
        <v>2.95</v>
      </c>
      <c r="C47">
        <v>4.5999999999999996</v>
      </c>
      <c r="D47">
        <f t="shared" si="10"/>
        <v>13.57</v>
      </c>
      <c r="G47">
        <f t="shared" si="11"/>
        <v>13.57</v>
      </c>
    </row>
    <row r="48" spans="1:7">
      <c r="A48" s="284" t="s">
        <v>430</v>
      </c>
      <c r="B48">
        <v>15.7</v>
      </c>
      <c r="C48">
        <v>4.5999999999999996</v>
      </c>
      <c r="D48">
        <f t="shared" si="10"/>
        <v>72.219999999999985</v>
      </c>
      <c r="F48">
        <v>2.1</v>
      </c>
      <c r="G48">
        <f t="shared" si="11"/>
        <v>70.11999999999999</v>
      </c>
    </row>
    <row r="49" spans="1:7">
      <c r="A49" s="284" t="s">
        <v>431</v>
      </c>
      <c r="B49">
        <v>5.7</v>
      </c>
      <c r="C49">
        <v>4.5999999999999996</v>
      </c>
      <c r="D49">
        <f t="shared" si="10"/>
        <v>26.22</v>
      </c>
      <c r="G49">
        <f t="shared" si="11"/>
        <v>26.22</v>
      </c>
    </row>
    <row r="50" spans="1:7">
      <c r="A50" s="284" t="s">
        <v>432</v>
      </c>
      <c r="B50">
        <v>8.3000000000000007</v>
      </c>
      <c r="C50">
        <v>4.5999999999999996</v>
      </c>
      <c r="D50">
        <f t="shared" si="10"/>
        <v>38.18</v>
      </c>
      <c r="G50">
        <f t="shared" si="11"/>
        <v>38.18</v>
      </c>
    </row>
    <row r="51" spans="1:7">
      <c r="A51" s="284" t="s">
        <v>433</v>
      </c>
      <c r="B51">
        <v>6.25</v>
      </c>
      <c r="C51">
        <v>1.95</v>
      </c>
      <c r="D51">
        <f t="shared" si="10"/>
        <v>12.1875</v>
      </c>
      <c r="G51">
        <f t="shared" si="11"/>
        <v>12.1875</v>
      </c>
    </row>
    <row r="52" spans="1:7">
      <c r="A52" s="284" t="s">
        <v>434</v>
      </c>
      <c r="B52">
        <v>0.7</v>
      </c>
      <c r="C52">
        <v>2.65</v>
      </c>
      <c r="D52">
        <f t="shared" si="10"/>
        <v>1.8549999999999998</v>
      </c>
      <c r="G52">
        <f t="shared" si="11"/>
        <v>1.8549999999999998</v>
      </c>
    </row>
    <row r="53" spans="1:7">
      <c r="A53" s="284" t="s">
        <v>435</v>
      </c>
      <c r="B53">
        <v>3.05</v>
      </c>
      <c r="C53">
        <v>1.95</v>
      </c>
      <c r="D53">
        <f t="shared" si="10"/>
        <v>5.9474999999999998</v>
      </c>
      <c r="G53">
        <f t="shared" si="11"/>
        <v>5.9474999999999998</v>
      </c>
    </row>
    <row r="54" spans="1:7">
      <c r="A54" s="284" t="s">
        <v>436</v>
      </c>
      <c r="B54">
        <v>161.24</v>
      </c>
      <c r="C54">
        <v>2.2000000000000002</v>
      </c>
      <c r="D54">
        <f t="shared" si="10"/>
        <v>354.72800000000007</v>
      </c>
      <c r="G54">
        <f t="shared" si="11"/>
        <v>354.72800000000007</v>
      </c>
    </row>
    <row r="55" spans="1:7">
      <c r="G55">
        <f>SUM(G45:G54)</f>
        <v>675.84799999999996</v>
      </c>
    </row>
    <row r="58" spans="1:7">
      <c r="A58" s="284" t="s">
        <v>442</v>
      </c>
    </row>
    <row r="59" spans="1:7">
      <c r="B59">
        <v>314.39999999999998</v>
      </c>
    </row>
    <row r="60" spans="1:7">
      <c r="B60">
        <v>199.02</v>
      </c>
    </row>
    <row r="62" spans="1:7">
      <c r="B62">
        <f>SUM(B59:B61)</f>
        <v>513.41999999999996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ORCAMENTO</vt:lpstr>
      <vt:lpstr>RESUMO</vt:lpstr>
      <vt:lpstr>CRONOGRAMA</vt:lpstr>
      <vt:lpstr>COMPOSIÇÃO</vt:lpstr>
      <vt:lpstr>Memoria de Calculo</vt:lpstr>
      <vt:lpstr>COMPOSIÇÃO!Area_de_impressao</vt:lpstr>
      <vt:lpstr>CRONOGRAMA!Area_de_impressao</vt:lpstr>
      <vt:lpstr>ORCAMENTO!Area_de_impressao</vt:lpstr>
      <vt:lpstr>RESUMO!Area_de_impressao</vt:lpstr>
      <vt:lpstr>COMPOSIÇÃO!Titulos_de_impressao</vt:lpstr>
      <vt:lpstr>CRONOGRAMA!Titulos_de_impressao</vt:lpstr>
      <vt:lpstr>ORCAMENTO!Titulos_de_impressao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2018-11-12T17:50:10Z</cp:lastPrinted>
  <dcterms:created xsi:type="dcterms:W3CDTF">1998-04-12T12:31:25Z</dcterms:created>
  <dcterms:modified xsi:type="dcterms:W3CDTF">2019-01-31T18:03:23Z</dcterms:modified>
</cp:coreProperties>
</file>