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9180" windowHeight="3480" tabRatio="601"/>
  </bookViews>
  <sheets>
    <sheet name="RESUMO" sheetId="22" r:id="rId1"/>
    <sheet name="planilha de orçamento" sheetId="19" r:id="rId2"/>
    <sheet name="COMPOSIÇÃO" sheetId="23" r:id="rId3"/>
    <sheet name="CRON" sheetId="21" r:id="rId4"/>
    <sheet name="Parte externa" sheetId="24" r:id="rId5"/>
    <sheet name="Parte Interna" sheetId="25" r:id="rId6"/>
  </sheets>
  <definedNames>
    <definedName name="_xlnm.Print_Area" localSheetId="2">COMPOSIÇÃO!$B$2:$I$41</definedName>
    <definedName name="_xlnm.Print_Area" localSheetId="3">CRON!$A$1:$J$66</definedName>
    <definedName name="_xlnm.Print_Area" localSheetId="1">'planilha de orçamento'!$B$2:$I$171</definedName>
    <definedName name="_xlnm.Print_Area" localSheetId="0">RESUMO!$A$2:$E$52</definedName>
    <definedName name="_xlnm.Print_Titles" localSheetId="2">COMPOSIÇÃO!$3:$5</definedName>
    <definedName name="_xlnm.Print_Titles" localSheetId="3">CRON!$1:$8</definedName>
    <definedName name="_xlnm.Print_Titles" localSheetId="1">'planilha de orçamento'!$B:$I,'planilha de orçamento'!$2:$14</definedName>
    <definedName name="_xlnm.Print_Titles" localSheetId="0">RESUMO!$2:$6</definedName>
  </definedNames>
  <calcPr calcId="125725"/>
</workbook>
</file>

<file path=xl/calcChain.xml><?xml version="1.0" encoding="utf-8"?>
<calcChain xmlns="http://schemas.openxmlformats.org/spreadsheetml/2006/main">
  <c r="H79" i="19"/>
  <c r="I79" s="1"/>
  <c r="K79"/>
  <c r="H80"/>
  <c r="I80" s="1"/>
  <c r="K80"/>
  <c r="H81"/>
  <c r="I81" s="1"/>
  <c r="K81"/>
  <c r="H21" i="23" l="1"/>
  <c r="H20"/>
  <c r="H19"/>
  <c r="H18"/>
  <c r="H22" s="1"/>
  <c r="H16" i="19"/>
  <c r="I16" s="1"/>
  <c r="I17" s="1"/>
  <c r="K16"/>
  <c r="K17" s="1"/>
  <c r="J17" s="1"/>
  <c r="G17"/>
  <c r="H13" i="23"/>
  <c r="H12"/>
  <c r="H11"/>
  <c r="H10"/>
  <c r="H9"/>
  <c r="H14" l="1"/>
  <c r="K155" i="19"/>
  <c r="H155"/>
  <c r="I155" s="1"/>
  <c r="K153"/>
  <c r="H153"/>
  <c r="I153" s="1"/>
  <c r="K151"/>
  <c r="H151"/>
  <c r="I151" s="1"/>
  <c r="K148"/>
  <c r="H148"/>
  <c r="I148" s="1"/>
  <c r="H144"/>
  <c r="I144" s="1"/>
  <c r="K136"/>
  <c r="H136"/>
  <c r="I136" s="1"/>
  <c r="K61"/>
  <c r="H61"/>
  <c r="I61" s="1"/>
  <c r="K132" l="1"/>
  <c r="H132"/>
  <c r="I132" s="1"/>
  <c r="K131"/>
  <c r="H131"/>
  <c r="I131" s="1"/>
  <c r="K134"/>
  <c r="H134"/>
  <c r="I134" s="1"/>
  <c r="K111"/>
  <c r="H111"/>
  <c r="I111" s="1"/>
  <c r="H103"/>
  <c r="I103" s="1"/>
  <c r="H99"/>
  <c r="I99" s="1"/>
  <c r="H101"/>
  <c r="I101" s="1"/>
  <c r="K95"/>
  <c r="H95"/>
  <c r="I95" s="1"/>
  <c r="K63"/>
  <c r="H63"/>
  <c r="I63" s="1"/>
  <c r="K68"/>
  <c r="H68"/>
  <c r="I68" s="1"/>
  <c r="K69"/>
  <c r="J69" s="1"/>
  <c r="G69"/>
  <c r="K67"/>
  <c r="H67"/>
  <c r="I67" s="1"/>
  <c r="I69" s="1"/>
  <c r="K64"/>
  <c r="H64"/>
  <c r="I64" s="1"/>
  <c r="K57"/>
  <c r="H57"/>
  <c r="I57" s="1"/>
  <c r="K158"/>
  <c r="H158"/>
  <c r="I158" s="1"/>
  <c r="K162"/>
  <c r="H162"/>
  <c r="I162" s="1"/>
  <c r="K157"/>
  <c r="H157"/>
  <c r="I157" s="1"/>
  <c r="H145"/>
  <c r="I145" s="1"/>
  <c r="K152"/>
  <c r="H152"/>
  <c r="I152" s="1"/>
  <c r="K150"/>
  <c r="H150"/>
  <c r="I150" s="1"/>
  <c r="K129"/>
  <c r="H129"/>
  <c r="I129" s="1"/>
  <c r="K107" l="1"/>
  <c r="H107"/>
  <c r="I107" s="1"/>
  <c r="H102"/>
  <c r="I102" s="1"/>
  <c r="K62"/>
  <c r="H62"/>
  <c r="I62" s="1"/>
  <c r="K73"/>
  <c r="H73"/>
  <c r="I73" s="1"/>
  <c r="K30"/>
  <c r="H30"/>
  <c r="I30" s="1"/>
  <c r="K39"/>
  <c r="H39"/>
  <c r="I39" s="1"/>
  <c r="E39" i="21" l="1"/>
  <c r="G41" s="1"/>
  <c r="I65" i="19"/>
  <c r="E34" i="22"/>
  <c r="K33" i="19"/>
  <c r="H33"/>
  <c r="K34"/>
  <c r="H34"/>
  <c r="I34" s="1"/>
  <c r="K116"/>
  <c r="H116"/>
  <c r="I116" s="1"/>
  <c r="K75"/>
  <c r="H75"/>
  <c r="I75" s="1"/>
  <c r="K118"/>
  <c r="H118"/>
  <c r="I118" s="1"/>
  <c r="H104"/>
  <c r="I104" s="1"/>
  <c r="K108"/>
  <c r="H108"/>
  <c r="I108" s="1"/>
  <c r="K112"/>
  <c r="H112"/>
  <c r="I112" s="1"/>
  <c r="I33" l="1"/>
  <c r="K97"/>
  <c r="H97"/>
  <c r="I97" s="1"/>
  <c r="K93"/>
  <c r="H93"/>
  <c r="I93" s="1"/>
  <c r="H39" i="23"/>
  <c r="H38"/>
  <c r="H36"/>
  <c r="H30"/>
  <c r="H29"/>
  <c r="H27"/>
  <c r="H40" l="1"/>
  <c r="H31"/>
  <c r="K86" i="19" l="1"/>
  <c r="H86"/>
  <c r="I86" s="1"/>
  <c r="K84"/>
  <c r="H84"/>
  <c r="I84" s="1"/>
  <c r="K74"/>
  <c r="H74"/>
  <c r="I74" s="1"/>
  <c r="K142" l="1"/>
  <c r="H142"/>
  <c r="I142" s="1"/>
  <c r="K156"/>
  <c r="H156"/>
  <c r="I156" s="1"/>
  <c r="K119"/>
  <c r="H119"/>
  <c r="I119" s="1"/>
  <c r="K113"/>
  <c r="H113"/>
  <c r="I113" s="1"/>
  <c r="K114"/>
  <c r="H114"/>
  <c r="I114" s="1"/>
  <c r="K106"/>
  <c r="H106"/>
  <c r="I106" s="1"/>
  <c r="K130"/>
  <c r="H130"/>
  <c r="I130" s="1"/>
  <c r="K110"/>
  <c r="H110"/>
  <c r="I110" s="1"/>
  <c r="K115"/>
  <c r="H115"/>
  <c r="I115" s="1"/>
  <c r="H100"/>
  <c r="I100" s="1"/>
  <c r="K89"/>
  <c r="K127"/>
  <c r="H127"/>
  <c r="I127" s="1"/>
  <c r="K126"/>
  <c r="H126"/>
  <c r="I126" s="1"/>
  <c r="K121"/>
  <c r="H121"/>
  <c r="I121" s="1"/>
  <c r="K133"/>
  <c r="H133"/>
  <c r="I133" s="1"/>
  <c r="G140"/>
  <c r="K139"/>
  <c r="H139"/>
  <c r="I139" s="1"/>
  <c r="H138"/>
  <c r="I138" s="1"/>
  <c r="H137"/>
  <c r="I137" s="1"/>
  <c r="K135"/>
  <c r="H135"/>
  <c r="I135" s="1"/>
  <c r="H98"/>
  <c r="I98" s="1"/>
  <c r="K96"/>
  <c r="H96"/>
  <c r="I96" s="1"/>
  <c r="K94"/>
  <c r="H94"/>
  <c r="I94" s="1"/>
  <c r="K92"/>
  <c r="H92"/>
  <c r="I92" s="1"/>
  <c r="K91"/>
  <c r="H91"/>
  <c r="I91" s="1"/>
  <c r="K90"/>
  <c r="H90"/>
  <c r="I90" s="1"/>
  <c r="K78" l="1"/>
  <c r="H78"/>
  <c r="I78" s="1"/>
  <c r="I82" s="1"/>
  <c r="K52" l="1"/>
  <c r="H52"/>
  <c r="I52" s="1"/>
  <c r="K58"/>
  <c r="H58"/>
  <c r="I58" s="1"/>
  <c r="A43" i="25"/>
  <c r="D43"/>
  <c r="A40"/>
  <c r="B40"/>
  <c r="C40"/>
  <c r="D40"/>
  <c r="E40"/>
  <c r="S28"/>
  <c r="D11" i="24"/>
  <c r="A37"/>
  <c r="A23" i="25"/>
  <c r="A22"/>
  <c r="S20"/>
  <c r="A15"/>
  <c r="B15"/>
  <c r="C15"/>
  <c r="D15"/>
  <c r="E15"/>
  <c r="F15"/>
  <c r="G15"/>
  <c r="H15"/>
  <c r="I15"/>
  <c r="J15"/>
  <c r="K15"/>
  <c r="M15"/>
  <c r="N15"/>
  <c r="O15"/>
  <c r="P15"/>
  <c r="Q15"/>
  <c r="R15"/>
  <c r="L15"/>
  <c r="B21" i="24"/>
  <c r="C12"/>
  <c r="G166" i="19"/>
  <c r="H168"/>
  <c r="I168" s="1"/>
  <c r="K168"/>
  <c r="K169" s="1"/>
  <c r="J169" s="1"/>
  <c r="G169"/>
  <c r="G76"/>
  <c r="F40" i="25" l="1"/>
  <c r="S15"/>
  <c r="I169" i="19"/>
  <c r="E48" i="22" l="1"/>
  <c r="K72" i="19"/>
  <c r="H72"/>
  <c r="I72" s="1"/>
  <c r="H46"/>
  <c r="I46" s="1"/>
  <c r="I47" s="1"/>
  <c r="B6" i="22"/>
  <c r="E6"/>
  <c r="H40" i="19"/>
  <c r="I40" s="1"/>
  <c r="H41"/>
  <c r="I41" s="1"/>
  <c r="H42"/>
  <c r="I42" s="1"/>
  <c r="H43"/>
  <c r="I43" s="1"/>
  <c r="H38"/>
  <c r="I38" s="1"/>
  <c r="H29"/>
  <c r="I29" s="1"/>
  <c r="H31"/>
  <c r="I31" s="1"/>
  <c r="H32"/>
  <c r="I32" s="1"/>
  <c r="H35"/>
  <c r="I35" s="1"/>
  <c r="H28"/>
  <c r="I28" s="1"/>
  <c r="H24"/>
  <c r="I24" s="1"/>
  <c r="H25"/>
  <c r="I25" s="1"/>
  <c r="H23"/>
  <c r="I23" s="1"/>
  <c r="H146"/>
  <c r="I146" s="1"/>
  <c r="H147"/>
  <c r="I147" s="1"/>
  <c r="H149"/>
  <c r="I149" s="1"/>
  <c r="H154"/>
  <c r="I154" s="1"/>
  <c r="H161"/>
  <c r="I161" s="1"/>
  <c r="H163"/>
  <c r="I163" s="1"/>
  <c r="H164"/>
  <c r="I164" s="1"/>
  <c r="H165"/>
  <c r="I165" s="1"/>
  <c r="H143"/>
  <c r="I143" s="1"/>
  <c r="K165"/>
  <c r="K161"/>
  <c r="K160"/>
  <c r="H159"/>
  <c r="I159" s="1"/>
  <c r="K154"/>
  <c r="K149"/>
  <c r="K147"/>
  <c r="K146"/>
  <c r="K143"/>
  <c r="K166" s="1"/>
  <c r="J166" s="1"/>
  <c r="G47"/>
  <c r="K46"/>
  <c r="K47" s="1"/>
  <c r="G44"/>
  <c r="K43"/>
  <c r="K42"/>
  <c r="K41"/>
  <c r="K40"/>
  <c r="K38"/>
  <c r="K44" s="1"/>
  <c r="J44" s="1"/>
  <c r="G36"/>
  <c r="K35"/>
  <c r="K32"/>
  <c r="K31"/>
  <c r="K29"/>
  <c r="K36" s="1"/>
  <c r="J36" s="1"/>
  <c r="K28"/>
  <c r="G26"/>
  <c r="K25"/>
  <c r="K24"/>
  <c r="K23"/>
  <c r="K26" s="1"/>
  <c r="H122"/>
  <c r="I122" s="1"/>
  <c r="H123"/>
  <c r="I123" s="1"/>
  <c r="H124"/>
  <c r="I124" s="1"/>
  <c r="H125"/>
  <c r="I125" s="1"/>
  <c r="H128"/>
  <c r="I128" s="1"/>
  <c r="H105"/>
  <c r="I105" s="1"/>
  <c r="H109"/>
  <c r="I109" s="1"/>
  <c r="H117"/>
  <c r="I117" s="1"/>
  <c r="H85"/>
  <c r="I85" s="1"/>
  <c r="I87" s="1"/>
  <c r="H71"/>
  <c r="I71" s="1"/>
  <c r="H55"/>
  <c r="I55" s="1"/>
  <c r="H56"/>
  <c r="I56" s="1"/>
  <c r="H50"/>
  <c r="I50" s="1"/>
  <c r="H51"/>
  <c r="I51" s="1"/>
  <c r="H49"/>
  <c r="I49" s="1"/>
  <c r="H19"/>
  <c r="I19" s="1"/>
  <c r="H20"/>
  <c r="I20" s="1"/>
  <c r="K128"/>
  <c r="K125"/>
  <c r="K124"/>
  <c r="K123"/>
  <c r="K122"/>
  <c r="K120"/>
  <c r="K117"/>
  <c r="K109"/>
  <c r="K140" s="1"/>
  <c r="J140" s="1"/>
  <c r="K105"/>
  <c r="B8" i="21"/>
  <c r="B4" i="22"/>
  <c r="B5"/>
  <c r="K19" i="19"/>
  <c r="K21" s="1"/>
  <c r="J21" s="1"/>
  <c r="G87"/>
  <c r="G82"/>
  <c r="G65"/>
  <c r="G59"/>
  <c r="G53"/>
  <c r="G21"/>
  <c r="K49"/>
  <c r="K56"/>
  <c r="K55"/>
  <c r="K59" s="1"/>
  <c r="J59" s="1"/>
  <c r="K65"/>
  <c r="J65" s="1"/>
  <c r="K20"/>
  <c r="K51"/>
  <c r="K71"/>
  <c r="K76" s="1"/>
  <c r="J76" s="1"/>
  <c r="K85"/>
  <c r="K87" s="1"/>
  <c r="J87" s="1"/>
  <c r="K50"/>
  <c r="K53" s="1"/>
  <c r="J53" s="1"/>
  <c r="K82"/>
  <c r="J82" s="1"/>
  <c r="H160"/>
  <c r="I160" s="1"/>
  <c r="I53" l="1"/>
  <c r="E26" i="22" s="1"/>
  <c r="I59" i="19"/>
  <c r="I76"/>
  <c r="I44"/>
  <c r="I36"/>
  <c r="E17" i="22" s="1"/>
  <c r="I140" i="19"/>
  <c r="E51" i="21" s="1"/>
  <c r="E12"/>
  <c r="E10" i="22"/>
  <c r="I166" i="19"/>
  <c r="E48" i="21"/>
  <c r="H50" s="1"/>
  <c r="E45"/>
  <c r="I26" i="19"/>
  <c r="I21"/>
  <c r="E23" i="22"/>
  <c r="E27" i="21"/>
  <c r="F29" s="1"/>
  <c r="I170" i="19" l="1"/>
  <c r="E15" i="21"/>
  <c r="F17" s="1"/>
  <c r="E12" i="22"/>
  <c r="E24" i="21"/>
  <c r="F26" s="1"/>
  <c r="E54"/>
  <c r="E45" i="22"/>
  <c r="E42" i="21"/>
  <c r="G44" s="1"/>
  <c r="E36" i="22"/>
  <c r="E42"/>
  <c r="I47" i="21"/>
  <c r="H47"/>
  <c r="E15" i="22"/>
  <c r="E18" i="21"/>
  <c r="F20" s="1"/>
  <c r="E40" i="22"/>
  <c r="E38"/>
  <c r="E30" i="21"/>
  <c r="F32" s="1"/>
  <c r="E20" i="22"/>
  <c r="E21" i="21"/>
  <c r="F23" s="1"/>
  <c r="H14"/>
  <c r="I14"/>
  <c r="G14"/>
  <c r="F14"/>
  <c r="E29" i="22"/>
  <c r="E33" i="21"/>
  <c r="I50"/>
  <c r="E57"/>
  <c r="E36"/>
  <c r="E32" i="22"/>
  <c r="G50" i="21"/>
  <c r="E51" i="22" l="1"/>
  <c r="I59" i="21"/>
  <c r="H53"/>
  <c r="I53"/>
  <c r="G53"/>
  <c r="G56"/>
  <c r="H56"/>
  <c r="I56"/>
  <c r="G38"/>
  <c r="F35"/>
  <c r="F60" s="1"/>
  <c r="E61"/>
  <c r="H60" l="1"/>
  <c r="G60"/>
  <c r="D39"/>
  <c r="D34" i="22"/>
  <c r="I60" i="21"/>
  <c r="D48" i="22"/>
  <c r="D10"/>
  <c r="F61" i="21"/>
  <c r="D45" i="22"/>
  <c r="D36"/>
  <c r="D42" i="21"/>
  <c r="D12"/>
  <c r="D15"/>
  <c r="D21"/>
  <c r="D45"/>
  <c r="D30"/>
  <c r="D27"/>
  <c r="D18"/>
  <c r="D24"/>
  <c r="D48"/>
  <c r="D32" i="22"/>
  <c r="D36" i="21"/>
  <c r="D12" i="22"/>
  <c r="D23"/>
  <c r="D26"/>
  <c r="D20"/>
  <c r="D38"/>
  <c r="D40"/>
  <c r="D15"/>
  <c r="D17"/>
  <c r="D54" i="21"/>
  <c r="D51"/>
  <c r="D57"/>
  <c r="D33"/>
  <c r="D42" i="22"/>
  <c r="D29"/>
  <c r="G61" i="21" l="1"/>
  <c r="H61" s="1"/>
  <c r="I61" s="1"/>
  <c r="D51" i="22"/>
  <c r="D61" i="21"/>
</calcChain>
</file>

<file path=xl/sharedStrings.xml><?xml version="1.0" encoding="utf-8"?>
<sst xmlns="http://schemas.openxmlformats.org/spreadsheetml/2006/main" count="664" uniqueCount="413">
  <si>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</si>
  <si>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</si>
  <si>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</si>
  <si>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</si>
  <si>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</si>
  <si>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</si>
  <si>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</si>
  <si>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</si>
  <si>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</si>
  <si>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</si>
  <si>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</si>
  <si>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</si>
  <si>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</si>
  <si>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</si>
  <si>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</si>
  <si>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Coberturas</t>
  </si>
  <si>
    <t>Pinturas</t>
  </si>
  <si>
    <t>TOTAIS MENSAIS</t>
  </si>
  <si>
    <t>TOTAIS ACUMULADOS</t>
  </si>
  <si>
    <t>RESPONSÁVEL TÉCNICO: GIOVANI BIFF-ARQUITETO E URBANISTA</t>
  </si>
  <si>
    <t xml:space="preserve">                                              CAU: 96414-0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</si>
  <si>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</si>
  <si>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</si>
  <si>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</si>
  <si>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</si>
  <si>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</si>
  <si>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</si>
  <si>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</si>
  <si>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</si>
  <si>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</si>
  <si>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</si>
  <si>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PLACA DE OBRA EM CHAPA DE ACO GALVANIZADO</t>
  </si>
  <si>
    <t>LIMPEZA FINAL DA OBRA</t>
  </si>
  <si>
    <t xml:space="preserve">Unit. c/ BDI </t>
  </si>
  <si>
    <t>Valor Total</t>
  </si>
  <si>
    <t>TOTAL ACUM.</t>
  </si>
  <si>
    <t>VALORES</t>
  </si>
  <si>
    <t>Quant.</t>
  </si>
  <si>
    <t>ESTRUTURA</t>
  </si>
  <si>
    <t>FUNDAÇÃO</t>
  </si>
  <si>
    <t>IMPERMEABILIZAÇÃO</t>
  </si>
  <si>
    <t>ALVENARIA</t>
  </si>
  <si>
    <t>REVESTIMENTO</t>
  </si>
  <si>
    <t>COBERTURA</t>
  </si>
  <si>
    <t>ESQUADRIAS</t>
  </si>
  <si>
    <t>PISOS</t>
  </si>
  <si>
    <t>PINTURA</t>
  </si>
  <si>
    <t xml:space="preserve">             ESGOTO</t>
  </si>
  <si>
    <t>INSTALAÇÕES HIDRO SANITÁRIAS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</si>
  <si>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</si>
  <si>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</si>
  <si>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</si>
  <si>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>INSTALAÇÕES ELÉTRICAS</t>
  </si>
  <si>
    <t xml:space="preserve">          Data:17/julho/2017</t>
  </si>
  <si>
    <t>SINAPI</t>
  </si>
  <si>
    <t>M</t>
  </si>
  <si>
    <t>M²</t>
  </si>
  <si>
    <t>LASTRO DE CONCRETO, PREPARO MECÂNICO, INCLUSO ADITIVO IMPERMEABILIZANTE , LANÇAMENTO E ADENSAMENTO</t>
  </si>
  <si>
    <t>M³</t>
  </si>
  <si>
    <r>
      <t>M</t>
    </r>
    <r>
      <rPr>
        <b/>
        <sz val="10"/>
        <rFont val="Arial"/>
        <family val="2"/>
      </rPr>
      <t>²</t>
    </r>
  </si>
  <si>
    <t>74106/001</t>
  </si>
  <si>
    <t>CHAPISCO APLICADO EM ALVENARIA (COM PRESENÇA DE VÃOS) E ESTRUTURA DE CONCRETO DE FACHADA, COM COLHER DE PEDREIRO, ARGAMASSA TRAÇO 1:3 PREPARO EM BETONEIRA 400L. AF_06/2014</t>
  </si>
  <si>
    <t>APLICAÇÃO MANUAL DE PINTURA COM TINTA LÁTEX ACRÍLICA EM PAREDES, DUAS DEMÃOS, AF_06/2014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</si>
  <si>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</si>
  <si>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MAGRO PARA LASTRO, TRAÇO 1:4,5:4,5 (CIMENTO/ AREIA MÉDIA/ BRITA 1) -PREPARO MECÂNICO COM BETÔNEIRA 400 L. AF_07/2016</t>
  </si>
  <si>
    <t>CONCRETO FCK=25MPA, TRAÇO 1: 2,3 :2, 7 (CIMENTO/ AREIA MÉDIA/ BRITA 1)-PREPARO MECÂNICO COM BETONEIRA 400L. AF_07/2016</t>
  </si>
  <si>
    <t>74209/001</t>
  </si>
  <si>
    <t>EXECUÇÃO DE DEPÓSITO EM CANTEIRO DE OBRA EM CHAPA DE MADEIRA COMPENSADA, NÃO INCLUSO MOBILIÁRIO. AF_04/2016</t>
  </si>
  <si>
    <t>COMPOSIÇÃO 01</t>
  </si>
  <si>
    <t>ALVENARIA DE VEDAÇÃO DE BLOCOS CERÂMICOS FURADOS NA HORIZONTAL DE 9 X19X19CM (ESPESSURA 11,5CM) DE PAREDES COM ÁREA LÍQUIDA  MAIOR OU IGUAL A 6M² COM VÃOS E ARGAMASSA DE ASSENTAMENTO COM PREPARO EM BETONEIRA AF_06_2014</t>
  </si>
  <si>
    <t>CONCRETO FCK=25MPA, TRAÇO 1:2,3:2,7 (CIMENTO/ AREIA MÉDIA/ BRITA 1)-PREPARO MECÂNICO COM BETONEIRA 400L. AF_07/2016</t>
  </si>
  <si>
    <t>KG</t>
  </si>
  <si>
    <t>AMARÇÃO DE PILAR OU VIGA DE UMA ESTRUTURA CONVENCIONAL DE CONCRETO ARMADO EM UMA EDIFICAÇÃO TÉRREA OU SOBRADO UTILIZANDO AÇO CA-60 DE 5,0MM- MONTAGEM. AF_12/2015</t>
  </si>
  <si>
    <t>AMARÇÃO DE PILAR OU VIGA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</si>
  <si>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CA-50 DE 10,0MM- MONTAGEM. AF_12/2015</t>
  </si>
  <si>
    <t>AMARÇÃO DE BLOCO, VIGA BALDRAME OU SAPATA UTILIZANDO AÇO CA-50 DE 10MM-MONTAGEM  AF_06/2017</t>
  </si>
  <si>
    <t>AMARÇÃO DE BLOCO, VIGA BALDRAME OU SAPATA UTILIZANDO AÇO CA-60 DE 5,0MM-MONTAGEM  AF_06/2017</t>
  </si>
  <si>
    <t>UN</t>
  </si>
  <si>
    <t>CAIXA D`ÁGUA EM POLIETILENO, 1000 LITROS COM ACESSÓRIOS</t>
  </si>
  <si>
    <t>TUBO PVC, SÉRIE NORMAL, ESGOTO PREDIAL, DN 50MM, FORNECIDO E INSTALADO EM RAMAL DE DESCARGA OU RAMAL DE ESGOTO SANITÁRIO AF_12/2014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</si>
  <si>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</si>
  <si>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</si>
  <si>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</si>
  <si>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</si>
  <si>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</si>
  <si>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</si>
  <si>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</si>
  <si>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</si>
  <si>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B.D.I: 27,63%</t>
  </si>
  <si>
    <t xml:space="preserve">       PLANILHA  ORÇAMENTÁRIA </t>
  </si>
  <si>
    <t>CAIXA RETANGULAR 4``X 2`` MÉDIA (1,30M DO PISO), PVC INSTALADA EM PAREDE-FORNECIMENTO E INSTALAÇÃO . AF_12/2015</t>
  </si>
  <si>
    <t>INTERRUPTOR SIMPLES (2 MÓDULOS), 10A/250V,  INCLUINDO SUPORTE E PLACA- FORNECIMENTO E INSTALAÇÃO. AF_12/2015</t>
  </si>
  <si>
    <r>
      <t>M</t>
    </r>
    <r>
      <rPr>
        <i/>
        <sz val="10"/>
        <rFont val="Arial"/>
        <family val="2"/>
      </rPr>
      <t>²</t>
    </r>
  </si>
  <si>
    <t>TOTAL GERAL DO ORÇAMENTO</t>
  </si>
  <si>
    <t>TUBO PVC, SÉRIE NORMAL, ESGOTO PREDIAL, DN 100MM, FORNECIDO E INSTALADO EM RAMAL DE DESCARGA OU RAMAL DE ESGOTO SANITÁRIO AF_12/2014</t>
  </si>
  <si>
    <t>TUBO PVC, SÉRIE NORMAL, ESGOTO PREDIAL, DN 40MM, FORNECIDO E INSTALADO EM RAMAL DE DESCARGA OU RAMAL DE ESGOTO SANITÁRIO AF_12/2014</t>
  </si>
  <si>
    <t>CURVA CURTA 90 GRAUS, PVC, SERIE NORMAL, ESGOTO PREDIAL, DN 40 MM, JUNTA SOLDÁVEL,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</si>
  <si>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</si>
  <si>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 xml:space="preserve">ADMINISTRAÇÃO LOCAL DE OBRA </t>
  </si>
  <si>
    <t>ENCARGOS SOCIAIS SOBRE MÃO DE OBRA: 88,80%</t>
  </si>
  <si>
    <t xml:space="preserve">         deste orçamento.</t>
  </si>
  <si>
    <t>Nota Técnica: O Serviços que correspondem a sondagem do tipo SPT serão realizados pela equipe técnica da Administração Municipal, estando assim a parte</t>
  </si>
  <si>
    <t>Administração Local</t>
  </si>
  <si>
    <t>REATERRO MANUAL APILOADO COM SOQUETE. AF_10/2017</t>
  </si>
  <si>
    <t>IMPERMEABILIZAÇÃO DE ESTRUTURAS ENTERRADAS, COM TINTA ASFALTICA, DUAS DEMÃOS.</t>
  </si>
  <si>
    <t>3.1</t>
  </si>
  <si>
    <t>1.1</t>
  </si>
  <si>
    <t>2.1</t>
  </si>
  <si>
    <t>2.2</t>
  </si>
  <si>
    <t>3.2</t>
  </si>
  <si>
    <t>4.1</t>
  </si>
  <si>
    <t>4.2</t>
  </si>
  <si>
    <t>4.3</t>
  </si>
  <si>
    <t>5.1</t>
  </si>
  <si>
    <t>6.1</t>
  </si>
  <si>
    <t>7.1</t>
  </si>
  <si>
    <t>8.1</t>
  </si>
  <si>
    <t>8.2</t>
  </si>
  <si>
    <t>8.3</t>
  </si>
  <si>
    <t>8.4</t>
  </si>
  <si>
    <t>9.1</t>
  </si>
  <si>
    <t>9.2</t>
  </si>
  <si>
    <t>10.1</t>
  </si>
  <si>
    <t>10.2</t>
  </si>
  <si>
    <t>11.1</t>
  </si>
  <si>
    <t>12.1</t>
  </si>
  <si>
    <t>12.2</t>
  </si>
  <si>
    <t>CABO DE COBRE FLEXÍVEL ISOLADO, 2,5 MM², ANTI-CHAMA 0,6/1,0 KV, PARA CIRCUITOS TERMINAIS - FORNECIMENTO E INSTALAÇÃO. AF_12/2015</t>
  </si>
  <si>
    <t xml:space="preserve">DISJUNTOR BIPOLAR DR 63A - DISPOSITIVO RESIDUAL DIFERENCIAL, TIPO AC, 30MA </t>
  </si>
  <si>
    <t>DUTO ESPIRAL FLEXIVEL SINGELO PEAD D=50MM(2") REVESTIDO COM PVC COM FIO GUIA DE ACO GALVANIZADO, LANCADO DIRETO NO SOLO, INCL CONEXOES</t>
  </si>
  <si>
    <t>73798/001</t>
  </si>
  <si>
    <t>14.3</t>
  </si>
  <si>
    <t>14.4</t>
  </si>
  <si>
    <t>14.5</t>
  </si>
  <si>
    <t>15.1</t>
  </si>
  <si>
    <t>Instalações Elétricas</t>
  </si>
  <si>
    <t>ESCAVAÇÃO MANUAL DE VALA COM PROFUNDIDADE MENOR OU IGUAL A 1,30 M. AF_03/2016</t>
  </si>
  <si>
    <t>74166/001</t>
  </si>
  <si>
    <t>CAIXA DE INSPEÇÃO EM CONCRETO PRÉ-MOLDADO DN 60CM COM TAMPA H= 60CM - FORNECIMENTO E INSTALACAO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</si>
  <si>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</si>
  <si>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</si>
  <si>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</si>
  <si>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</si>
  <si>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</si>
  <si>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</si>
  <si>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</si>
  <si>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</si>
  <si>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</si>
  <si>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Custos Unit. (R$)</t>
  </si>
  <si>
    <t>Custos Total (R$)</t>
  </si>
  <si>
    <t>M A T E R I A L</t>
  </si>
  <si>
    <t>88316</t>
  </si>
  <si>
    <t>SERVENTE COM ENCARGOS COMPLEMENTARES</t>
  </si>
  <si>
    <t>ELETRICISTA COM ENCARGOS COMPLEMENTARES</t>
  </si>
  <si>
    <t>* baseada na composição 08894/ORSE</t>
  </si>
  <si>
    <t>Disjuntor bipolar DR 63 A - Dispositivo residual diferencial, tipo AC, 30MA</t>
  </si>
  <si>
    <t>* baseada na composição 07997/ORSE</t>
  </si>
  <si>
    <t>m²</t>
  </si>
  <si>
    <t>TUBO, PVC, SOLDÁVEL, DN 25MM, INSTALADO EM RAMAL OU SUB-RAMAL DE ÁGUA- FORNECIMENTO E INSTALAÇÃO. AF_12/2014</t>
  </si>
  <si>
    <t>TUBO, PVC, SOLDÁVEL, DN 50MM, INSTALADO EM PRUMADA DE ÁGUA - FORNECIMENTO E INSTALAÇÃO. AF_12/2014</t>
  </si>
  <si>
    <t>JOELHO 90 GRAUS, PVC, SOLDÁVEL, DN 25MM, INSTALADO EM RAMAL OU SUB-RAMAL DE ÁGUA - FORNECIMENTO E INSTALAÇÃO. AF_12/2014</t>
  </si>
  <si>
    <t>JOELHO 90 GRAUS, PVC, SOLDÁVEL, DN 50MM, INSTALADO EM PRUMADA DE ÁGUA- FORNECIMENTO E INSTALAÇÃO. AF_12/2014</t>
  </si>
  <si>
    <t>JOELHO 90 GRAUS COM BUCHA DE LATÃO, PVC, SOLDÁVEL, DN 25MM, X 1/2 INSTALADO EM RAMAL OU SUB-RAMAL DE ÁGUA - FORNECIMENTO E INSTALAÇÃO. AF_12/2014</t>
  </si>
  <si>
    <t>TE, PVC, SOLDÁVEL, DN 25MM, INSTALADO EM RAMAL OU SUB-RAMAL DE ÁGUA -FORNECIMENTO E INSTALAÇÃO. AF_12/2014</t>
  </si>
  <si>
    <t>TÊ DE REDUÇÃO, PVC, SOLDÁVEL, DN 50MM X 25MM, INSTALADO EM PRUMADA DE ÁGUA - FORNECIMENTO E INSTALAÇÃO. AF_12/2014</t>
  </si>
  <si>
    <t>pintura paredes externas</t>
  </si>
  <si>
    <t>reboco frontal</t>
  </si>
  <si>
    <t>chapisco frontal</t>
  </si>
  <si>
    <t>Sala 01</t>
  </si>
  <si>
    <t>Sala 02</t>
  </si>
  <si>
    <t>Sala 03</t>
  </si>
  <si>
    <t>Sala 04</t>
  </si>
  <si>
    <t>Sala 05</t>
  </si>
  <si>
    <t>Sala 06</t>
  </si>
  <si>
    <t>Sala 07</t>
  </si>
  <si>
    <t>Sala 08</t>
  </si>
  <si>
    <t>Sala 09</t>
  </si>
  <si>
    <t>Sala 10</t>
  </si>
  <si>
    <t>Sala 11</t>
  </si>
  <si>
    <t>Sala 12</t>
  </si>
  <si>
    <t>Sala 13</t>
  </si>
  <si>
    <t>Sala 14</t>
  </si>
  <si>
    <t>Sala 15</t>
  </si>
  <si>
    <t>Sala 16</t>
  </si>
  <si>
    <t>Sala 17</t>
  </si>
  <si>
    <t>Sala 18</t>
  </si>
  <si>
    <t>Total Interno</t>
  </si>
  <si>
    <t xml:space="preserve">Teto </t>
  </si>
  <si>
    <t>Total Teto</t>
  </si>
  <si>
    <t>Maior de 10m²</t>
  </si>
  <si>
    <t>Entre 5 a 10m²</t>
  </si>
  <si>
    <t>Menor que 5m²</t>
  </si>
  <si>
    <t>piso tatil</t>
  </si>
  <si>
    <t>Perimetro</t>
  </si>
  <si>
    <t>Total Perimetro</t>
  </si>
  <si>
    <t>Revestimento Ceramico</t>
  </si>
  <si>
    <t>Total Revestimento</t>
  </si>
  <si>
    <t>Area Menor que 5m²</t>
  </si>
  <si>
    <t>Area Maior que 5m²</t>
  </si>
  <si>
    <t>REVESTIMENTO CERÂMICO PARA PAREDES INTERNAS COM PLACAS TIPO ESMALTADA EXTRA DE DIMENSÕES 33X45 CM APLICADAS EM AMBIENTES DE ÁREA MAIOR QUE 5 M² NA ALTURA INTEIRA DAS PAREDES. AF_06/2014</t>
  </si>
  <si>
    <t>11.2</t>
  </si>
  <si>
    <t>VERGA MOLDADA IN LOCO EM CONCRETO PARA JANELAS COM ATÉ 1,5 M DE VÃO. AF_03/2016</t>
  </si>
  <si>
    <t>SINAPI ou Cot. De Mercado</t>
  </si>
  <si>
    <t>TANQUE DE LOUÇA BRANCA COM COLUNA, 30L OU EQUIVALENTE, INCLUSO SIFÃO FLEXÍVEL EM PVC, VÁLVULA METÁLICA E TORNEIRA DE METAL CROMADO PADRÃO MÉDIO - FORNECIMENTO E INSTALAÇÃO. AF_12/2013</t>
  </si>
  <si>
    <t xml:space="preserve"> TUBO, PVC, SOLDÁVEL, DN 32MM, INSTALADO EM RAMAL OU SUB-RAMAL DE ÁGUA- FORNECIMENTO E INSTALAÇÃO. AF_12/2014</t>
  </si>
  <si>
    <t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AF_12/2013</t>
  </si>
  <si>
    <t>TUBO PVC, SERIE NORMAL, ESGOTO PREDIAL, DN 150 MM, FORNECIDO E INSTALADO EM SUBCOLETOR AÉREO DE ESGOTO SANITÁRIO. AF_12/2014</t>
  </si>
  <si>
    <t>JOELHO 90 GRAUS, PVC, SERIE NORMAL, ESGOTO PREDIAL, DN 100 MM, JUNTA ELÁSTICA, FORNECIDO E INSTALADO EM RAMAL DE DESCARGA OU RAMAL DE ESGOTO SANITÁRIO. AF_12/2014</t>
  </si>
  <si>
    <t xml:space="preserve">             HIDRÁULICA</t>
  </si>
  <si>
    <t>http://www.fnde.gov.br/centrais-de-conteudos/publicacoes/category/130-proinfancia?download=10834:tipo-1-2017-dwg-projeto-arquitetonico</t>
  </si>
  <si>
    <t>REGISTRO DE GAVETA BRUTO, LATÃO, ROSCÁVEL, 1 1/2, COM ACABAMENTO E CANOPLA CROMADOS, INSTALADO EM RESERVAÇÃO DE ÁGUA DE EDIFICAÇÃO QUE POSSUA RESERVATÓRIO DE FIBRA/FIBROCIMENTO FORNECIMENTO E INSTALAÇÃO. AF_06/2016</t>
  </si>
  <si>
    <t>REGISTRO DE GAVETA BRUTO, LATÃO, ROSCÁVEL, 3/4", COM ACABAMENTO E CANOPLA CROMADOS. FORNECIDO E INSTALADO EM RAMAL DE ÁGUA. AF_12/2014</t>
  </si>
  <si>
    <t>01083/ORSE</t>
  </si>
  <si>
    <t>BUCHA DE REDUÇÃO LONGA DE PVC RÍGIDO SOLDÁVEL, MARRON, DIAMETRO = 50 x 25mm</t>
  </si>
  <si>
    <t>VALVULA DESCARGA 1.1/2" COM REGISTRO, ACABAMENTO EM METAL CROMADO - FORNECIMENTO E INSTALACAO</t>
  </si>
  <si>
    <t>ADAPTADOR CURTO COM BOLSA E ROSCA PARA REGISTRO, PVC, SOLDÁVEL, DN 25MM X 3/4, INSTALADO EM RAMAL OU SUB-RAMAL DE ÁGUA - FORNECIMENTO E INSTALAÇÃO. AF_12/2014</t>
  </si>
  <si>
    <t>ADAPTADOR CURTO COM BOLSA E ROSCA PARA REGISTRO, PVC, SOLDÁVEL, DN 50MM X 1.1/2, INSTALADO EM PRUMADA DE ÁGUA - FORNECIMENTO E INSTALAÇÃO.AF_12/2014</t>
  </si>
  <si>
    <t>DISJUNTOR MONOPOLAR TIPO DIN, CORRENTE NOMINAL DE 10A - FORNECIMENTO E INSTALAÇÃO. AF_04/2016</t>
  </si>
  <si>
    <t>CAIXA ENTERRADA ELÉTRICA RETANGULAR, EM ALVENARIA COM TIJOLOS CERÂMICOS MACIÇOS, FUNDO COM BRITA, DIMENSÕES INTERNAS: 0,6X0,6X0,6 M. AF_05/2018</t>
  </si>
  <si>
    <t>13.1</t>
  </si>
  <si>
    <t>13.2</t>
  </si>
  <si>
    <t>74125/001</t>
  </si>
  <si>
    <t xml:space="preserve">ESPELHO CRISTAL ESPESSURA 4MM, COM MOLDURA DE MADEIRA </t>
  </si>
  <si>
    <t>APLICAÇÃO DE FUNDO SELADOR LÁTEX PVA EM PAREDES, UMA DEMÃO. AF_06/2014</t>
  </si>
  <si>
    <t>PINTURA ESMALTE BRILHANTE (2 DEMAOS) SOBRE SUPERFICIE METALICA, INCLUSIVE PROTECAO COM ZARCAO (1 DEMAO)</t>
  </si>
  <si>
    <t>COMP. ELE 03</t>
  </si>
  <si>
    <t>Serviços Finais</t>
  </si>
  <si>
    <t>SERVIÇOS FINAIS</t>
  </si>
  <si>
    <t>TUBO, PVC, SOLDÁVEL, DN 75MM, INSTALADO EM PRUMADA DE ÁGUA - FORNECIMENTO E INSTALAÇÃO. AF_12/2014</t>
  </si>
  <si>
    <t>JOELHO 90 GRAUS, PVC, SOLDÁVEL, DN 75MM, INSTALADO EM PRUMADA DE ÁGUA - FORNECIMENTO E INSTALAÇÃO. AF_12/2014</t>
  </si>
  <si>
    <t>JOELHO 90 GRAUS, PVC, SERIE NORMAL, ESGOTO PREDIAL, DN 40 MM, JUNTA SOLDÁVEL, FORNECIDO E INSTALADO EM RAMAL DE DESCARGA OU RAMAL DE ESGOTOSANITÁRIO. AF_12/2014</t>
  </si>
  <si>
    <t>BUCHA DE REDUÇÃO LONGA DE PVC RÍGIDO SOLDÁVEL, MARRON, DIAMETRO = 75 x 50mm</t>
  </si>
  <si>
    <t>01089/ORSE</t>
  </si>
  <si>
    <t>ADAPTADOR CURTO COM BOLSA E ROSCA PARA REGISTRO, PVC, SOLDÁVEL, DN 75MM X 2.1/2, INSTALADO EM PRUMADA DE ÁGUA - FORNECIMENTO E INSTALAÇÃO.AF_12/2014</t>
  </si>
  <si>
    <t>LUVA SOLDÁVEL E COM ROSCA, PVC, SOLDÁVEL, DN 25MM X 3/4, INSTALADO EM RAMAL OU SUB-RAMAL DE ÁGUA - FORNECIMENTO E INSTALAÇÃO. AF_12/2014</t>
  </si>
  <si>
    <t>REGISTRO DE GAVETA BRUTO, LATÃO, ROSCÁVEL, 2 1/2, INSTALADO EM RESERVAÇÃO DE ÁGUA DE EDIFICAÇÃO QUE POSSUA RESERVATÓRIO DE FIBRA/FIBROCIMENTO FORNECIMENTO E INSTALAÇÃO. AF_06/2016</t>
  </si>
  <si>
    <t>REGISTRO DE ESFERA, PVC, SOLDÁVEL, DN 25 MM, INSTALADO EM RESERVAÇÃO DE ÁGUA DE EDIFICAÇÃO QUE POSSUA RESERVATÓRIO DE FIBRA/FIBROCIMENTO FORNECIMENTO E INSTALAÇÃO. AF_06/2016</t>
  </si>
  <si>
    <t>CHUVEIRO ELETRICO COMUM CORPO PLASTICO TIPO DUCHA, FORNECIMENTO E INSTALACAO</t>
  </si>
  <si>
    <t>73933/003</t>
  </si>
  <si>
    <t xml:space="preserve">PORTA DE FERRO TIPO VENEZIANA, DE ABRIR, SEM BANDEIRA SEM FERRAGENS </t>
  </si>
  <si>
    <t>JANELA DE AÇO DE CORRER, 4 FOLHAS, FIXAÇÃO COM ARGAMASSA, SEM VIDROS, PADRONIZADA. AF_07/2016</t>
  </si>
  <si>
    <t>JANELA DE AÇO BASCULANTE, FIXAÇÃO COM ARGAMASSA, SEM VIDROS, PADRONIZADA. AF_07/2016</t>
  </si>
  <si>
    <t>REGISTRO DE PRESSÃO BRUTO, LATÃO, ROSCÁVEL, 3/4", COM ACABAMENTO E CANOPLA CROMADOS. FORNECIDO E INSTALADO EM RAMAL DE ÁGUA. AF_12/2014</t>
  </si>
  <si>
    <t>ARMAÇÃO DE BLOCO, VIGA BALDRAME OU SAPATA UTILIZANDO AÇO CA-50 DE 6,3MM - MONTAGEM. AF_06/2017</t>
  </si>
  <si>
    <t>74157/004</t>
  </si>
  <si>
    <t xml:space="preserve">LANCAMENTO/APLICACAO MANUAL DE CONCRETO EM FUNDACOES </t>
  </si>
  <si>
    <t>CABO DE COBRE FLEXÍVEL ISOLADO, 10 MM², ANTI-CHAMA 0,6/1,0 KV, PARA CIRCUITOS TERMINAIS - FORNECIMENTO E INSTALAÇÃO. AF_12/2015</t>
  </si>
  <si>
    <t>QUADRO DE DISTRIBUICAO DE ENERGIA EM CHAPA DE ACO GALVANIZADO, PARA 12 DISJUNTORES TERMOMAGNETICOS MONOPOLARES, COM BARRAMENTO TRIFASICO E NEUTRO - FORNECIMENTO E INSTALACAO</t>
  </si>
  <si>
    <t xml:space="preserve">VIDRO LISO COMUM TRANSPARENTE, ESPESSURA 4MM </t>
  </si>
  <si>
    <t>VERGA MOLDADA IN LOCO EM CONCRETO PARA PORTAS COM ATÉ 1,5 M DE VÃO. AF _03/2016</t>
  </si>
  <si>
    <t>ADAPTADOR COM FLANGES LIVRES, PVC, SOLDÁVEL, DN 75 MM X 2 1/2 , INSTALADO EM RESERVAÇÃO DE ÁGUA DE EDIFICAÇÃO QUE POSSUA RESERVATÓRIO DE FIBRA/FIBROCIMENTO FORNECIMENTO E INSTALAÇÃO. AF_06/2016</t>
  </si>
  <si>
    <t>CAIXA SIFONADA, PVC, DN 100 X 100 X 50 MM, FORNECIDA E INSTALADA EM RAMAIS DE ENCAMINHAMENTO DE ÁGUA PLUVIAL. AF_12/2014</t>
  </si>
  <si>
    <t>CAIXA OCTOGONAL 3" X 3", PVC, INSTALADA EM LAJE - FORNECIMENTO E INSTALAÇÃO. AF_12/2015</t>
  </si>
  <si>
    <t>TOMADA ALTA DE EMBUTIR (1 MÓDULO), 2P+T 20 A, INCLUINDO SUPORTE E PLACA - FORNECIMENTO E INSTALAÇÃO. AF_12/2015</t>
  </si>
  <si>
    <t>CAIXA RETANGULAR 4" X 2" ALTA (2,00 M DO PISO), PVC, INSTALADA EM PAREDE - FORNECIMENTO E INSTALAÇÃO. AF_12/2015</t>
  </si>
  <si>
    <t>DISJUNTOR MONOPOLAR TIPO DIN, CORRENTE NOMINAL DE 50A - FORNECIMENTO E INSTALAÇÃO. AF_04/2016</t>
  </si>
  <si>
    <t>ELETRODUTO FLEXÍVEL CORRUGADO, PVC, DN 32 MM (1"), PARA CIRCUITOS TERMINAIS, INSTALADO EM PAREDE - FORNECIMENTO E INSTALAÇÃO. AF_12/2015</t>
  </si>
  <si>
    <t>ELETRODUTO FLEXÍVEL CORRUGADO, PVC, DN 25 MM (3/4"), PARA CIRCUITOS TERMINAIS, INSTALADO EM PAREDE - FORNECIMENTO E INSTALAÇÃO. AF_12/2015</t>
  </si>
  <si>
    <t>14.1</t>
  </si>
  <si>
    <t>14.2</t>
  </si>
  <si>
    <t>DISJUNTOR BIPOLAR TIPO DIN, CORRENTE NOMINAL DE 50A - FORNECIMENTO E INSTALAÇÃO. AF_04/2016</t>
  </si>
  <si>
    <t xml:space="preserve">        Local da Obra:Aldeia indigena Água Limpa</t>
  </si>
  <si>
    <t>PREPARO DE FUNDO DE VALA COM LARGURA MENOR QUE 1,5M EM LOCAL COM NÍVEL BAIXO DE INTERFERÊNCIA. AF_06/2016</t>
  </si>
  <si>
    <t>MASSA ÚNICA, PARA RECEBIMENTO DE PINTURA, EM ARGAMASSA TRAÇO 1:2:8, PREPARO MECÂNICO COM BETONEIRA 400L, APLICADA MANUALMENTE EM FACES INTERNAS DE PAREDES, ESPESSURA DE 20MM, COM EXECUÇÃO DE TALISCAS. AF_06/2014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</si>
  <si>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</si>
  <si>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TELHAMENTO COM TELHA ONDULADA DE FIBROCIMENTO E = 6 MM, COM RECOBRIMENTO LATERAL DE 1/4 DE ONDA PARA TELHADO COM INCLINAÇÃO MAIOR QUE 10°, COM ATÉ 2 ÁGUAS, INCLUSO IÇAMENTO.AF_06/2016</t>
  </si>
  <si>
    <t>FORRO</t>
  </si>
  <si>
    <t>FORRO EM RÉGUAS DE PVC, FRISADO, PARA AMBIENTES RESIDENCIAIS, INCLUSIVE ESTRUTURA DE FIXAÇÃO. AF_05/2017_P</t>
  </si>
  <si>
    <t>ACABAMENTOS PARA FORRO (RODA-FORRO EM PERFIL METÁLICO E PLÁSTICO). AF_ 05/2017</t>
  </si>
  <si>
    <t>12.3</t>
  </si>
  <si>
    <t>Forro</t>
  </si>
  <si>
    <t>CUMEEIRA PARA TELHA DE FIBROCIMENTO ONDULADA E = 6 MM, INCLUSO ACESSÓRIOS DE FIXAÇÃO E IÇAMENTO. AF_06/2016</t>
  </si>
  <si>
    <t xml:space="preserve">                                       Fonte de valores:SINAPI - 07/2018-DESONERADO</t>
  </si>
  <si>
    <t>JOELHO 90 GRAUS, PVC, SOLDÁVEL, DN 32MM, INSTALADO EM RAMAL OU SUB-RAMAL DE ÁGUA - FORNECIMENTO E INSTALAÇÃO. AF_12/2014</t>
  </si>
  <si>
    <t>TE, PVC, SOLDÁVEL, DN 50MM, INSTALADO EM PRUMADA DE ÁGUA - FORNECIMENTO E INSTALAÇÃO. AF_12/2014</t>
  </si>
  <si>
    <t>JOELHO 90 GRAUS COM BUCHA DE LATÃO, PVC, SOLDÁVEL, DN 25MM, X 3/4 INSTALADO EM RAMAL OU SUB-RAMAL DE ÁGUA - FORNECIMENTO E INSTALAÇÃO. AF_12/2014</t>
  </si>
  <si>
    <t>TÊ COM BUCHA DE LATÃO NA BOLSA CENTRAL, PVC, SOLDÁVEL, DN 25MM X 3/4,INSTALADO EM RAMAL OU SUB-RAMAL DE ÁGUA - FORNECIMENTO E INSTALAÇÃO.</t>
  </si>
  <si>
    <t>BUCHA DE REDUÇÃO, PPR, 32 X 25, CLASSE PN 25, INSTALADO EM RAMAL DE DISTRIBUIÇÃO DE ÁGUA FORNECIMENTO E INSTALAÇÃO . AF_06/2015</t>
  </si>
  <si>
    <t>KIT DE ACESSORIOS PARA BANHEIRO EM METAL CROMADO, 5 PECAS, INCLUSO FIXAÇÃO. AF_10/2016</t>
  </si>
  <si>
    <t>VASO SANITARIO SIFONADO CONVENCIONAL COM LOUÇA BRANCA, INCLUSO CONJUNTO DE LIGAÇÃO PARA BACIA SANITÁRIA AJUSTÁVEL - FORNECIMENTO E INSTALAÇÃO. AF_10/2016</t>
  </si>
  <si>
    <t>LAVATÓRIO LOUÇA BRANCA COM COLUNA, 45 X 55CM OU EQUIVALENTE, PADRÃO MÉDIO, INCLUSO SIFÃO TIPO GARRAFA, VÁLVULA E ENGATE FLEXÍVEL DE 40CM EM METAL CROMADO, COM TORNEIRA CROMADA DE MESA, PADRÃO MÉDIO - FORNECIMENTO E INSTALAÇÃO. AF_12/2013</t>
  </si>
  <si>
    <t>ALVENARIA DE VEDAÇÃO DE BLOCOS CERÂMICOS FURADOS NA HORIZONTAL DE 14X9X19CM (ESPESSURA 14CM, BLOCO DEITADO) DE PAREDES COM ÁREA LÍQUIDA MAIOR OU IGUAL A 6M² COM VÃOS E ARGAMASSA DE ASSENTAMENTO COM PREPARO EM BETONEIRA. AF_06/2014</t>
  </si>
  <si>
    <t>REVESTIMENTO CERÂMICO P/ PISO COM PLACAS TIPO ESMALTADA EXTRA DE DIMENSÕES 45X45CM, APLICADA EM AMBIENTES DE ÁREA MAIOR QUE 10 M². AF_06/2014</t>
  </si>
  <si>
    <t>ARGAMASSA TRAÇO 1:3 (CIMENTO E AREIA MÉDIA) PARA CONTRAPISO, PREPARO MECÂNICO COM BETONEIRA 400 L. AF_06/2014</t>
  </si>
  <si>
    <t xml:space="preserve">RODAPÉ CERÂMICO DE 7CM DE ALTURA COM PLACAS PORCELANATO EXTRA DE DIMENSÕES 60X60CM. </t>
  </si>
  <si>
    <t>INSTALAÇÃO DE TESOURA (INTEIRA OU MEIA), BIAPOIADA, EM MADEIRA NÃO APARELHADA, PARA VÃOS MAIORES OU IGUAIS A 8,0 M E MENORES QUE 10,0 M, INCLUSO IÇAMENTO. AF_12/2015</t>
  </si>
  <si>
    <t>CAIXA DE GORDURA DUPLA, CIRCULAR, EM CONCRETO PRÉ-MOLDADO, DIÂMETRO INTERNO = 0,6 M, ALTURA INTERNA = 0,6 M. AF_05/2018</t>
  </si>
  <si>
    <t>TANQUE SÉPTICO CIRCULAR, EM CONCRETO PRÉ-MOLDADO, DIÂMETRO INTERNO = 1,10 M, ALTURA INTERNA = 2,50 M, VOLUME ÚTIL: 2138,2 L (PARA 5 CONTRIBUINTES). AF_05/2018</t>
  </si>
  <si>
    <t>FILTRO ANAERÓBIO RETANGULAR, EM ALVENARIA COM BLOCOS DE CONCRETO, DIMENSÕES INTERNAS: 0,8 X 1,2 X 1,67 M, VOLUME ÚTIL: 1152 L (PARA 5 CONTRIBUINTES). AF_05/2018</t>
  </si>
  <si>
    <t>TRAMA DE MADEIRA COMPOSTA POR TERÇAS PARA TELHADOS DE ATÉ 2 ÁGUAS PARA TELHA ONDULADA DE FIBROCIMENTO, METÁLICA, PLÁSTICA OU TERMOACÚSTICA,INCLUSO TRANSPORTE VERTICAL. AF_12/2015</t>
  </si>
  <si>
    <t>CABO DE COBRE FLEXÍVEL ISOLADO, 4 MM², ANTI-CHAMA 0,6/1,0 KV, PARA CIRCUITOS TERMINAIS - FORNECIMENTO E INSTALAÇÃO. AF_12/2015</t>
  </si>
  <si>
    <t>CAIXA RETANGULAR 4" X 2" BAIXA (0,30 M DO PISO), PVC, INSTALADA EM PAREDE - FORNECIMENTO E INSTALAÇÃO. AF_12/2015</t>
  </si>
  <si>
    <t>TOMADA BAIXA DE EMBUTIR (1 MÓDULO), 2P+T 10 A, INCLUINDO SUPORTE E PLACA - FORNECIMENTO E INSTALAÇÃO. AF_12/2015</t>
  </si>
  <si>
    <t>TOMADA MÉDIA DE EMBUTIR (1 MÓDULO), 2P+T 10 A, INCLUINDO SUPORTE E PLACA - FORNECIMENTO E INSTALAÇÃO. AF_12/2015</t>
  </si>
  <si>
    <t>INTERRUPTOR SIMPLES (1 MÓDULO), 10A/250V, INCLUINDO SUPORTE E PLACA -FORNECIMENTO E INSTALAÇÃO. AF_12/2015</t>
  </si>
  <si>
    <t>00711/ORSE</t>
  </si>
  <si>
    <t>FORNECIMENTO E INSTALAÇÃO DE TAMPA CEGA  (espelho liso) PARA CAIXA 4" x 2"</t>
  </si>
  <si>
    <t>LUMINÁRIA TIPO PLAFON, DE SOBREPOR, COM 1 LÂMPADA LED - FORNECIMENTO E INSTALAÇÃO. AF_11/2017</t>
  </si>
  <si>
    <t>INSUMOS E COMPOSIÇÕES / REF. SINAPI/MT - JULHO/2018</t>
  </si>
  <si>
    <t>SINAPI/SINFRA ou Cot. De Mercado</t>
  </si>
  <si>
    <t>ARGAMASSA COLANTE AC I PARA CERAMICAS</t>
  </si>
  <si>
    <t>REJUNTE COLORIDO, CIMENTICIO</t>
  </si>
  <si>
    <t>AZULEJISTA OU LADRILHISTA COM ENCARGOS COMPLEMENTARES</t>
  </si>
  <si>
    <t>* baseada na composição 88650 Sinap - JULHO/2018</t>
  </si>
  <si>
    <t>PISO EM CERAMICA ESMALTADA EXTRA, PEI MAIOR OU IGUAL A 4, FORMATO MAIOR QUE 2025 CM2</t>
  </si>
  <si>
    <t>COMPOSIÇÃO 02</t>
  </si>
  <si>
    <t>DISPOSITIVO DE PROTEÇÃO CONTRA SURTO DE TENSÃO DPS 20kA - 175v</t>
  </si>
  <si>
    <t>DISPOSITIVO DPS CLASSE II, 1 POLO, TENSAO MAXIMA DE 175 V, CORRENTE MAXIMA DE *20*KA (TIPO AC</t>
  </si>
  <si>
    <t>COMP. ELE 04</t>
  </si>
  <si>
    <t>Composições Eletricas</t>
  </si>
  <si>
    <t>3.3</t>
  </si>
  <si>
    <t>4.4</t>
  </si>
  <si>
    <t>4.5</t>
  </si>
  <si>
    <t>4.6</t>
  </si>
  <si>
    <t>7.2</t>
  </si>
  <si>
    <t>7.3</t>
  </si>
  <si>
    <t>7.4</t>
  </si>
  <si>
    <t>11.3</t>
  </si>
  <si>
    <t>11.4</t>
  </si>
  <si>
    <t>13.3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</si>
  <si>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</si>
  <si>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</si>
  <si>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</si>
  <si>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</si>
  <si>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</si>
  <si>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</si>
  <si>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</si>
  <si>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</si>
  <si>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</si>
  <si>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</si>
  <si>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</si>
  <si>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</si>
  <si>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</si>
  <si>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</si>
  <si>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</si>
  <si>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</si>
  <si>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</si>
  <si>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</si>
  <si>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</si>
  <si>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DATA:15/09/2018</t>
  </si>
  <si>
    <t xml:space="preserve"> Local da Obra:Aldeia indigena Água Limpa                                                                                                                                          Coordenadas geograficas da Obra:Latitude 14°26'25.20"S - Longitude 53°28'51.60"O</t>
  </si>
  <si>
    <t xml:space="preserve"> Coordenadas geograficas da Obra:Latitude 14°26'25.20"S - Longitude 53°28'51.60"O</t>
  </si>
  <si>
    <t>1.2</t>
  </si>
  <si>
    <t>2.3</t>
  </si>
  <si>
    <t>3.4</t>
  </si>
  <si>
    <t>3.5</t>
  </si>
  <si>
    <t>3.6</t>
  </si>
  <si>
    <t>3.7</t>
  </si>
  <si>
    <t>3.8</t>
  </si>
  <si>
    <t>6.2</t>
  </si>
  <si>
    <t>6.3</t>
  </si>
  <si>
    <t>6.4</t>
  </si>
  <si>
    <t>10.3</t>
  </si>
  <si>
    <t>10.4</t>
  </si>
  <si>
    <t>10.5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</si>
  <si>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</si>
  <si>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</si>
  <si>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</si>
  <si>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</si>
  <si>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</si>
  <si>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</si>
  <si>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</si>
  <si>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</si>
  <si>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</si>
  <si>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</si>
  <si>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</si>
  <si>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</si>
  <si>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</si>
  <si>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</si>
  <si>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</si>
  <si>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</si>
  <si>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</si>
  <si>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</si>
  <si>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</si>
  <si>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</si>
  <si>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</si>
  <si>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</si>
  <si>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</si>
  <si>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</si>
  <si>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</si>
  <si>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</si>
  <si>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</si>
  <si>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</si>
  <si>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</si>
  <si>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</si>
  <si>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</si>
  <si>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</si>
  <si>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</si>
  <si>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</si>
  <si>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</si>
  <si>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</si>
  <si>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</si>
  <si>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</si>
  <si>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</si>
  <si>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</si>
  <si>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</si>
  <si>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</si>
  <si>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</si>
  <si>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</si>
  <si>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</si>
  <si>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</si>
  <si>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UNID.</t>
  </si>
  <si>
    <t>* baseada na composição 09960/ORSE - JULHO/2018</t>
  </si>
  <si>
    <t>ANEL DE CONCRETO ARMADO, D = 1,00 M, H = 0,50 M</t>
  </si>
  <si>
    <t>CONCRETO FCK = 15MPA, TRAÇO 1:3,4:3,5 (CIMENTO/ AREIA MÉDIA/ BRITA 1) - PREPARO MECÂNICO COM BETONEIRA 400 L. AF_07/2016</t>
  </si>
  <si>
    <t>00545/ORSE</t>
  </si>
  <si>
    <t>CASCALHINHO OU PEDRISCO (BRITA 0), COM FRETE</t>
  </si>
  <si>
    <t>SUMIDOURO PRE-MOLDADO DE CONCRETO - 06 ANEIS, ø=1,00M e h=0,50M CADA ANEL (1,00 x 3,00m)</t>
  </si>
  <si>
    <t>COMPOSIÇÃO 001</t>
  </si>
  <si>
    <t xml:space="preserve">IMPORTA O PRESENTE ORÇAMENTO EM R$- CENTO E SETE MIL NOVECENTOS E SESSENTA E SETE REAIS, ESESSENTA E TRÊS CENTAVOS </t>
  </si>
  <si>
    <t xml:space="preserve">               Execução de Obras de Ampliação e Adequação da Unidade de Saúde do Posto de Saúde Indigena Aldeia Água Limpa-Anexo Alojamento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</si>
  <si>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Execução de Obras de Ampliação e Adequação da Unidade de Saúde do Posto de Saúde Indigena Aldeia Água Limpa-Anexo Alojamento</t>
    </r>
  </si>
  <si>
    <t xml:space="preserve">                                     Execução de Obras de Ampliação e Adequação da Unidade de Saúde do Posto de Saúde Indigena Aldeia Água Limpa-Anexo Alojamento</t>
  </si>
</sst>
</file>

<file path=xl/styles.xml><?xml version="1.0" encoding="utf-8"?>
<styleSheet xmlns="http://schemas.openxmlformats.org/spreadsheetml/2006/main">
  <numFmts count="6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0"/>
    <numFmt numFmtId="167" formatCode="0.000"/>
    <numFmt numFmtId="168" formatCode="0.0000"/>
    <numFmt numFmtId="169" formatCode="_(* #,##0.000_);_(* \(#,##0.000\);_(* &quot;-&quot;??_);_(@_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b/>
      <sz val="13"/>
      <name val="Arial"/>
      <family val="2"/>
    </font>
    <font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4">
    <xf numFmtId="0" fontId="0" fillId="0" borderId="0"/>
    <xf numFmtId="0" fontId="20" fillId="0" borderId="0"/>
    <xf numFmtId="0" fontId="20" fillId="0" borderId="0"/>
    <xf numFmtId="0" fontId="19" fillId="0" borderId="0"/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7" fillId="0" borderId="0"/>
    <xf numFmtId="0" fontId="27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454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 applyAlignment="1">
      <alignment horizont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/>
    <xf numFmtId="0" fontId="0" fillId="0" borderId="0" xfId="0" applyBorder="1" applyAlignment="1">
      <alignment horizontal="left" vertical="center" wrapText="1"/>
    </xf>
    <xf numFmtId="0" fontId="8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0" fillId="0" borderId="0" xfId="0" applyFill="1"/>
    <xf numFmtId="0" fontId="12" fillId="0" borderId="0" xfId="0" applyFont="1" applyFill="1"/>
    <xf numFmtId="2" fontId="0" fillId="5" borderId="1" xfId="0" applyNumberFormat="1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6" fillId="5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8" fillId="0" borderId="0" xfId="0" applyFont="1" applyBorder="1"/>
    <xf numFmtId="0" fontId="15" fillId="0" borderId="2" xfId="0" applyFont="1" applyBorder="1"/>
    <xf numFmtId="0" fontId="8" fillId="0" borderId="2" xfId="0" applyFont="1" applyBorder="1"/>
    <xf numFmtId="165" fontId="15" fillId="0" borderId="2" xfId="0" applyNumberFormat="1" applyFont="1" applyBorder="1"/>
    <xf numFmtId="0" fontId="6" fillId="0" borderId="3" xfId="0" applyFont="1" applyBorder="1"/>
    <xf numFmtId="0" fontId="15" fillId="0" borderId="3" xfId="0" applyFont="1" applyBorder="1"/>
    <xf numFmtId="0" fontId="18" fillId="0" borderId="4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0" fontId="15" fillId="0" borderId="6" xfId="34" applyNumberFormat="1" applyFont="1" applyBorder="1"/>
    <xf numFmtId="10" fontId="15" fillId="0" borderId="4" xfId="34" applyNumberFormat="1" applyFont="1" applyBorder="1"/>
    <xf numFmtId="165" fontId="15" fillId="0" borderId="8" xfId="50" applyFont="1" applyBorder="1"/>
    <xf numFmtId="165" fontId="15" fillId="0" borderId="7" xfId="50" applyFont="1" applyBorder="1"/>
    <xf numFmtId="165" fontId="15" fillId="0" borderId="4" xfId="50" applyFont="1" applyBorder="1"/>
    <xf numFmtId="165" fontId="15" fillId="3" borderId="1" xfId="50" applyFont="1" applyFill="1" applyBorder="1"/>
    <xf numFmtId="165" fontId="15" fillId="4" borderId="4" xfId="50" applyFont="1" applyFill="1" applyBorder="1"/>
    <xf numFmtId="10" fontId="15" fillId="0" borderId="9" xfId="34" applyNumberFormat="1" applyFont="1" applyFill="1" applyBorder="1"/>
    <xf numFmtId="10" fontId="15" fillId="0" borderId="5" xfId="34" applyNumberFormat="1" applyFont="1" applyFill="1" applyBorder="1"/>
    <xf numFmtId="165" fontId="15" fillId="3" borderId="10" xfId="50" applyFont="1" applyFill="1" applyBorder="1"/>
    <xf numFmtId="10" fontId="15" fillId="3" borderId="1" xfId="34" applyNumberFormat="1" applyFont="1" applyFill="1" applyBorder="1"/>
    <xf numFmtId="10" fontId="15" fillId="0" borderId="5" xfId="34" applyNumberFormat="1" applyFont="1" applyBorder="1"/>
    <xf numFmtId="10" fontId="15" fillId="0" borderId="11" xfId="34" applyNumberFormat="1" applyFont="1" applyBorder="1"/>
    <xf numFmtId="10" fontId="15" fillId="4" borderId="5" xfId="34" applyNumberFormat="1" applyFont="1" applyFill="1" applyBorder="1"/>
    <xf numFmtId="10" fontId="15" fillId="4" borderId="11" xfId="34" applyNumberFormat="1" applyFont="1" applyFill="1" applyBorder="1"/>
    <xf numFmtId="165" fontId="15" fillId="0" borderId="11" xfId="50" applyFont="1" applyFill="1" applyBorder="1"/>
    <xf numFmtId="165" fontId="15" fillId="0" borderId="11" xfId="50" applyFont="1" applyBorder="1"/>
    <xf numFmtId="165" fontId="15" fillId="0" borderId="12" xfId="50" applyFont="1" applyFill="1" applyBorder="1"/>
    <xf numFmtId="10" fontId="15" fillId="4" borderId="12" xfId="34" applyNumberFormat="1" applyFont="1" applyFill="1" applyBorder="1"/>
    <xf numFmtId="165" fontId="18" fillId="0" borderId="7" xfId="50" applyFont="1" applyBorder="1"/>
    <xf numFmtId="9" fontId="18" fillId="0" borderId="1" xfId="34" applyNumberFormat="1" applyFont="1" applyBorder="1" applyAlignment="1">
      <alignment horizontal="center"/>
    </xf>
    <xf numFmtId="165" fontId="18" fillId="0" borderId="1" xfId="50" applyFont="1" applyBorder="1" applyAlignment="1">
      <alignment horizontal="center"/>
    </xf>
    <xf numFmtId="165" fontId="15" fillId="0" borderId="1" xfId="0" applyNumberFormat="1" applyFont="1" applyBorder="1"/>
    <xf numFmtId="0" fontId="18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0" fontId="0" fillId="0" borderId="0" xfId="0" applyBorder="1"/>
    <xf numFmtId="4" fontId="6" fillId="5" borderId="1" xfId="0" applyNumberFormat="1" applyFont="1" applyFill="1" applyBorder="1" applyAlignment="1">
      <alignment horizontal="center" vertical="center"/>
    </xf>
    <xf numFmtId="10" fontId="6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11" fillId="5" borderId="0" xfId="0" applyNumberFormat="1" applyFont="1" applyFill="1" applyBorder="1" applyAlignment="1">
      <alignment horizontal="center" vertical="center" wrapText="1"/>
    </xf>
    <xf numFmtId="4" fontId="11" fillId="6" borderId="0" xfId="0" applyNumberFormat="1" applyFont="1" applyFill="1" applyBorder="1" applyAlignment="1">
      <alignment horizontal="center" vertical="center" wrapText="1"/>
    </xf>
    <xf numFmtId="4" fontId="11" fillId="6" borderId="0" xfId="0" applyNumberFormat="1" applyFont="1" applyFill="1" applyBorder="1" applyAlignment="1">
      <alignment horizontal="center" vertical="center"/>
    </xf>
    <xf numFmtId="4" fontId="8" fillId="6" borderId="0" xfId="0" applyNumberFormat="1" applyFont="1" applyFill="1" applyBorder="1" applyAlignment="1">
      <alignment horizontal="right" vertical="center"/>
    </xf>
    <xf numFmtId="4" fontId="8" fillId="6" borderId="0" xfId="45" applyNumberFormat="1" applyFont="1" applyFill="1" applyBorder="1" applyAlignment="1">
      <alignment vertical="center"/>
    </xf>
    <xf numFmtId="4" fontId="6" fillId="6" borderId="0" xfId="0" applyNumberFormat="1" applyFont="1" applyFill="1" applyBorder="1" applyAlignment="1">
      <alignment horizontal="right" vertical="center"/>
    </xf>
    <xf numFmtId="0" fontId="8" fillId="5" borderId="0" xfId="0" applyNumberFormat="1" applyFont="1" applyFill="1" applyBorder="1" applyAlignment="1">
      <alignment horizontal="center" vertical="center"/>
    </xf>
    <xf numFmtId="0" fontId="6" fillId="5" borderId="0" xfId="0" quotePrefix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justify" vertical="center" wrapText="1"/>
    </xf>
    <xf numFmtId="4" fontId="8" fillId="5" borderId="0" xfId="45" applyNumberFormat="1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22" fillId="0" borderId="0" xfId="24" applyFont="1" applyBorder="1"/>
    <xf numFmtId="4" fontId="8" fillId="0" borderId="0" xfId="45" applyNumberFormat="1" applyFont="1" applyFill="1" applyBorder="1" applyAlignment="1">
      <alignment vertical="center"/>
    </xf>
    <xf numFmtId="10" fontId="15" fillId="0" borderId="7" xfId="34" applyNumberFormat="1" applyFont="1" applyBorder="1"/>
    <xf numFmtId="10" fontId="15" fillId="0" borderId="12" xfId="34" applyNumberFormat="1" applyFont="1" applyFill="1" applyBorder="1"/>
    <xf numFmtId="0" fontId="15" fillId="0" borderId="22" xfId="0" applyFont="1" applyBorder="1" applyAlignment="1">
      <alignment horizontal="left" vertical="center"/>
    </xf>
    <xf numFmtId="165" fontId="15" fillId="0" borderId="23" xfId="50" applyFont="1" applyBorder="1"/>
    <xf numFmtId="165" fontId="15" fillId="0" borderId="22" xfId="50" applyFont="1" applyBorder="1"/>
    <xf numFmtId="0" fontId="18" fillId="4" borderId="17" xfId="0" applyFont="1" applyFill="1" applyBorder="1" applyAlignment="1">
      <alignment horizontal="center" vertical="center"/>
    </xf>
    <xf numFmtId="10" fontId="6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8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22" fillId="8" borderId="0" xfId="24" applyFont="1" applyFill="1" applyBorder="1"/>
    <xf numFmtId="4" fontId="8" fillId="8" borderId="0" xfId="45" applyNumberFormat="1" applyFont="1" applyFill="1" applyBorder="1" applyAlignment="1">
      <alignment vertical="center"/>
    </xf>
    <xf numFmtId="0" fontId="6" fillId="8" borderId="0" xfId="0" applyFont="1" applyFill="1" applyAlignment="1">
      <alignment vertical="center"/>
    </xf>
    <xf numFmtId="167" fontId="22" fillId="8" borderId="0" xfId="24" applyNumberFormat="1" applyFont="1" applyFill="1" applyBorder="1"/>
    <xf numFmtId="0" fontId="13" fillId="8" borderId="0" xfId="0" applyFont="1" applyFill="1" applyAlignment="1">
      <alignment vertical="center"/>
    </xf>
    <xf numFmtId="0" fontId="8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12" fillId="8" borderId="0" xfId="0" applyFont="1" applyFill="1" applyAlignment="1">
      <alignment vertical="center" wrapText="1"/>
    </xf>
    <xf numFmtId="0" fontId="6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2" fillId="8" borderId="0" xfId="0" applyFont="1" applyFill="1"/>
    <xf numFmtId="0" fontId="0" fillId="2" borderId="0" xfId="0" applyFill="1" applyBorder="1"/>
    <xf numFmtId="0" fontId="2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11" fillId="7" borderId="0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vertical="center"/>
    </xf>
    <xf numFmtId="10" fontId="8" fillId="7" borderId="0" xfId="0" applyNumberFormat="1" applyFont="1" applyFill="1" applyBorder="1" applyAlignment="1">
      <alignment horizontal="right" vertical="center"/>
    </xf>
    <xf numFmtId="4" fontId="8" fillId="7" borderId="0" xfId="0" applyNumberFormat="1" applyFont="1" applyFill="1" applyBorder="1" applyAlignment="1">
      <alignment vertical="center"/>
    </xf>
    <xf numFmtId="10" fontId="6" fillId="7" borderId="0" xfId="0" applyNumberFormat="1" applyFont="1" applyFill="1" applyBorder="1" applyAlignment="1">
      <alignment horizontal="right" vertical="center"/>
    </xf>
    <xf numFmtId="4" fontId="6" fillId="7" borderId="0" xfId="0" applyNumberFormat="1" applyFont="1" applyFill="1" applyBorder="1" applyAlignment="1">
      <alignment vertical="center"/>
    </xf>
    <xf numFmtId="10" fontId="8" fillId="8" borderId="0" xfId="0" applyNumberFormat="1" applyFont="1" applyFill="1" applyBorder="1" applyAlignment="1">
      <alignment horizontal="right" vertical="center"/>
    </xf>
    <xf numFmtId="4" fontId="8" fillId="8" borderId="0" xfId="0" applyNumberFormat="1" applyFont="1" applyFill="1" applyBorder="1" applyAlignment="1">
      <alignment vertical="center"/>
    </xf>
    <xf numFmtId="10" fontId="6" fillId="5" borderId="0" xfId="0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vertical="center"/>
    </xf>
    <xf numFmtId="4" fontId="17" fillId="7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vertical="center" wrapText="1"/>
    </xf>
    <xf numFmtId="10" fontId="8" fillId="9" borderId="0" xfId="0" applyNumberFormat="1" applyFont="1" applyFill="1" applyBorder="1" applyAlignment="1">
      <alignment horizontal="right" vertical="center"/>
    </xf>
    <xf numFmtId="4" fontId="8" fillId="9" borderId="0" xfId="0" applyNumberFormat="1" applyFont="1" applyFill="1" applyBorder="1" applyAlignment="1">
      <alignment vertical="center"/>
    </xf>
    <xf numFmtId="4" fontId="8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2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/>
    </xf>
    <xf numFmtId="4" fontId="6" fillId="10" borderId="15" xfId="0" applyNumberFormat="1" applyFont="1" applyFill="1" applyBorder="1" applyAlignment="1">
      <alignment horizontal="center" vertical="center"/>
    </xf>
    <xf numFmtId="0" fontId="6" fillId="0" borderId="33" xfId="25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49" fontId="8" fillId="5" borderId="3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5" borderId="16" xfId="0" applyNumberFormat="1" applyFill="1" applyBorder="1" applyAlignment="1">
      <alignment horizontal="right"/>
    </xf>
    <xf numFmtId="165" fontId="7" fillId="12" borderId="28" xfId="52" applyFont="1" applyFill="1" applyBorder="1" applyAlignment="1">
      <alignment horizontal="right" vertical="center"/>
    </xf>
    <xf numFmtId="4" fontId="7" fillId="12" borderId="29" xfId="8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69" fontId="0" fillId="0" borderId="7" xfId="44" applyNumberFormat="1" applyFont="1" applyBorder="1" applyAlignment="1">
      <alignment horizontal="center" vertical="center"/>
    </xf>
    <xf numFmtId="165" fontId="0" fillId="0" borderId="7" xfId="44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5" borderId="5" xfId="0" applyNumberFormat="1" applyFill="1" applyBorder="1" applyAlignment="1">
      <alignment horizontal="right"/>
    </xf>
    <xf numFmtId="169" fontId="0" fillId="0" borderId="1" xfId="44" applyNumberFormat="1" applyFont="1" applyBorder="1" applyAlignment="1">
      <alignment horizontal="center" vertical="center"/>
    </xf>
    <xf numFmtId="165" fontId="0" fillId="0" borderId="1" xfId="44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8" fillId="8" borderId="0" xfId="0" applyFont="1" applyFill="1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wrapText="1"/>
    </xf>
    <xf numFmtId="2" fontId="0" fillId="0" borderId="1" xfId="0" applyNumberFormat="1" applyBorder="1"/>
    <xf numFmtId="0" fontId="8" fillId="15" borderId="1" xfId="0" applyFont="1" applyFill="1" applyBorder="1"/>
    <xf numFmtId="0" fontId="8" fillId="15" borderId="1" xfId="0" applyFont="1" applyFill="1" applyBorder="1" applyAlignment="1">
      <alignment horizontal="right"/>
    </xf>
    <xf numFmtId="0" fontId="0" fillId="15" borderId="1" xfId="0" applyFill="1" applyBorder="1"/>
    <xf numFmtId="2" fontId="0" fillId="15" borderId="1" xfId="0" applyNumberFormat="1" applyFill="1" applyBorder="1"/>
    <xf numFmtId="2" fontId="8" fillId="15" borderId="1" xfId="0" applyNumberFormat="1" applyFont="1" applyFill="1" applyBorder="1"/>
    <xf numFmtId="0" fontId="6" fillId="15" borderId="1" xfId="0" applyFont="1" applyFill="1" applyBorder="1"/>
    <xf numFmtId="0" fontId="8" fillId="14" borderId="1" xfId="0" applyFont="1" applyFill="1" applyBorder="1"/>
    <xf numFmtId="0" fontId="0" fillId="14" borderId="1" xfId="0" applyFill="1" applyBorder="1"/>
    <xf numFmtId="0" fontId="8" fillId="14" borderId="1" xfId="0" applyFont="1" applyFill="1" applyBorder="1" applyAlignment="1">
      <alignment horizontal="right"/>
    </xf>
    <xf numFmtId="2" fontId="0" fillId="14" borderId="1" xfId="0" applyNumberFormat="1" applyFill="1" applyBorder="1"/>
    <xf numFmtId="0" fontId="8" fillId="8" borderId="1" xfId="0" applyFont="1" applyFill="1" applyBorder="1"/>
    <xf numFmtId="0" fontId="0" fillId="8" borderId="1" xfId="0" applyFill="1" applyBorder="1"/>
    <xf numFmtId="0" fontId="8" fillId="8" borderId="1" xfId="0" applyFont="1" applyFill="1" applyBorder="1" applyAlignment="1">
      <alignment horizontal="right"/>
    </xf>
    <xf numFmtId="2" fontId="0" fillId="8" borderId="1" xfId="0" applyNumberFormat="1" applyFill="1" applyBorder="1"/>
    <xf numFmtId="0" fontId="0" fillId="13" borderId="1" xfId="0" applyFill="1" applyBorder="1"/>
    <xf numFmtId="0" fontId="8" fillId="13" borderId="1" xfId="0" applyFont="1" applyFill="1" applyBorder="1"/>
    <xf numFmtId="2" fontId="0" fillId="13" borderId="1" xfId="0" applyNumberFormat="1" applyFill="1" applyBorder="1"/>
    <xf numFmtId="2" fontId="6" fillId="13" borderId="1" xfId="0" applyNumberFormat="1" applyFont="1" applyFill="1" applyBorder="1"/>
    <xf numFmtId="2" fontId="8" fillId="13" borderId="1" xfId="0" applyNumberFormat="1" applyFont="1" applyFill="1" applyBorder="1"/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168" fontId="8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/>
    </xf>
    <xf numFmtId="4" fontId="8" fillId="5" borderId="12" xfId="0" applyNumberFormat="1" applyFont="1" applyFill="1" applyBorder="1" applyAlignment="1">
      <alignment horizontal="center" vertical="center"/>
    </xf>
    <xf numFmtId="4" fontId="8" fillId="5" borderId="9" xfId="0" applyNumberFormat="1" applyFont="1" applyFill="1" applyBorder="1" applyAlignment="1">
      <alignment horizontal="right" vertical="center" wrapText="1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168" fontId="0" fillId="5" borderId="0" xfId="0" applyNumberFormat="1" applyFill="1" applyBorder="1"/>
    <xf numFmtId="4" fontId="0" fillId="5" borderId="0" xfId="0" applyNumberForma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4" fontId="6" fillId="5" borderId="1" xfId="0" applyNumberFormat="1" applyFont="1" applyFill="1" applyBorder="1" applyAlignment="1">
      <alignment vertical="center"/>
    </xf>
    <xf numFmtId="4" fontId="8" fillId="5" borderId="5" xfId="0" applyNumberFormat="1" applyFont="1" applyFill="1" applyBorder="1" applyAlignment="1">
      <alignment horizontal="right" vertical="center" wrapText="1"/>
    </xf>
    <xf numFmtId="0" fontId="8" fillId="5" borderId="6" xfId="0" applyFont="1" applyFill="1" applyBorder="1"/>
    <xf numFmtId="0" fontId="0" fillId="5" borderId="11" xfId="0" applyFill="1" applyBorder="1"/>
    <xf numFmtId="0" fontId="0" fillId="5" borderId="8" xfId="0" applyFill="1" applyBorder="1"/>
    <xf numFmtId="0" fontId="8" fillId="5" borderId="3" xfId="0" applyFont="1" applyFill="1" applyBorder="1"/>
    <xf numFmtId="0" fontId="0" fillId="5" borderId="3" xfId="0" applyFill="1" applyBorder="1" applyAlignment="1">
      <alignment horizontal="center"/>
    </xf>
    <xf numFmtId="168" fontId="0" fillId="5" borderId="3" xfId="0" applyNumberFormat="1" applyFill="1" applyBorder="1"/>
    <xf numFmtId="4" fontId="0" fillId="5" borderId="3" xfId="0" applyNumberFormat="1" applyFill="1" applyBorder="1" applyAlignment="1">
      <alignment horizontal="center"/>
    </xf>
    <xf numFmtId="0" fontId="0" fillId="5" borderId="3" xfId="0" applyFill="1" applyBorder="1"/>
    <xf numFmtId="0" fontId="0" fillId="5" borderId="24" xfId="0" applyFill="1" applyBorder="1"/>
    <xf numFmtId="0" fontId="6" fillId="0" borderId="34" xfId="25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1" xfId="0" applyFill="1" applyBorder="1"/>
    <xf numFmtId="0" fontId="0" fillId="0" borderId="13" xfId="0" applyBorder="1"/>
    <xf numFmtId="0" fontId="0" fillId="0" borderId="14" xfId="0" applyFill="1" applyBorder="1"/>
    <xf numFmtId="0" fontId="0" fillId="0" borderId="14" xfId="0" applyBorder="1"/>
    <xf numFmtId="0" fontId="0" fillId="0" borderId="27" xfId="0" applyBorder="1"/>
    <xf numFmtId="0" fontId="0" fillId="0" borderId="2" xfId="0" applyBorder="1"/>
    <xf numFmtId="0" fontId="0" fillId="0" borderId="19" xfId="0" applyBorder="1"/>
    <xf numFmtId="0" fontId="8" fillId="0" borderId="25" xfId="0" applyFont="1" applyBorder="1"/>
    <xf numFmtId="0" fontId="8" fillId="0" borderId="21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27" xfId="0" applyFont="1" applyBorder="1"/>
    <xf numFmtId="0" fontId="8" fillId="0" borderId="19" xfId="0" applyFont="1" applyBorder="1"/>
    <xf numFmtId="0" fontId="15" fillId="0" borderId="26" xfId="0" applyFont="1" applyBorder="1"/>
    <xf numFmtId="0" fontId="15" fillId="0" borderId="0" xfId="0" applyFont="1" applyBorder="1"/>
    <xf numFmtId="0" fontId="18" fillId="0" borderId="0" xfId="0" applyFont="1" applyBorder="1"/>
    <xf numFmtId="10" fontId="15" fillId="0" borderId="0" xfId="34" applyNumberFormat="1" applyFont="1" applyBorder="1"/>
    <xf numFmtId="0" fontId="0" fillId="5" borderId="0" xfId="0" applyFill="1"/>
    <xf numFmtId="0" fontId="11" fillId="0" borderId="0" xfId="0" applyFont="1" applyBorder="1" applyAlignment="1"/>
    <xf numFmtId="0" fontId="15" fillId="0" borderId="25" xfId="0" applyFont="1" applyBorder="1"/>
    <xf numFmtId="0" fontId="15" fillId="0" borderId="27" xfId="0" applyFont="1" applyBorder="1"/>
    <xf numFmtId="0" fontId="6" fillId="0" borderId="0" xfId="0" applyFont="1" applyBorder="1"/>
    <xf numFmtId="0" fontId="15" fillId="0" borderId="21" xfId="0" applyFont="1" applyBorder="1"/>
    <xf numFmtId="0" fontId="15" fillId="0" borderId="37" xfId="0" applyFont="1" applyBorder="1"/>
    <xf numFmtId="0" fontId="11" fillId="0" borderId="29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5" fontId="18" fillId="0" borderId="21" xfId="50" applyFont="1" applyBorder="1" applyAlignment="1">
      <alignment horizontal="center"/>
    </xf>
    <xf numFmtId="0" fontId="15" fillId="0" borderId="19" xfId="0" applyFont="1" applyBorder="1"/>
    <xf numFmtId="9" fontId="18" fillId="0" borderId="38" xfId="34" applyNumberFormat="1" applyFont="1" applyBorder="1" applyAlignment="1">
      <alignment horizontal="center"/>
    </xf>
    <xf numFmtId="0" fontId="15" fillId="0" borderId="39" xfId="0" applyFont="1" applyBorder="1"/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33" fillId="0" borderId="13" xfId="0" applyFont="1" applyBorder="1" applyAlignment="1"/>
    <xf numFmtId="0" fontId="6" fillId="0" borderId="13" xfId="0" applyFont="1" applyBorder="1" applyAlignment="1"/>
    <xf numFmtId="0" fontId="6" fillId="5" borderId="20" xfId="0" quotePrefix="1" applyFont="1" applyFill="1" applyBorder="1" applyAlignment="1">
      <alignment horizontal="center" vertical="center" wrapText="1"/>
    </xf>
    <xf numFmtId="0" fontId="6" fillId="5" borderId="18" xfId="0" quotePrefix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166" fontId="14" fillId="5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right" vertical="center"/>
    </xf>
    <xf numFmtId="4" fontId="8" fillId="7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168" fontId="8" fillId="5" borderId="1" xfId="0" applyNumberFormat="1" applyFont="1" applyFill="1" applyBorder="1" applyAlignment="1">
      <alignment horizontal="center" vertical="center" wrapText="1"/>
    </xf>
    <xf numFmtId="0" fontId="0" fillId="16" borderId="0" xfId="0" applyFill="1"/>
    <xf numFmtId="10" fontId="8" fillId="16" borderId="1" xfId="0" applyNumberFormat="1" applyFont="1" applyFill="1" applyBorder="1" applyAlignment="1">
      <alignment horizontal="right" vertical="center"/>
    </xf>
    <xf numFmtId="4" fontId="8" fillId="16" borderId="1" xfId="0" applyNumberFormat="1" applyFont="1" applyFill="1" applyBorder="1" applyAlignment="1">
      <alignment vertical="center"/>
    </xf>
    <xf numFmtId="4" fontId="8" fillId="16" borderId="0" xfId="45" applyNumberFormat="1" applyFont="1" applyFill="1" applyBorder="1" applyAlignment="1">
      <alignment vertical="center"/>
    </xf>
    <xf numFmtId="0" fontId="12" fillId="16" borderId="0" xfId="0" applyFont="1" applyFill="1"/>
    <xf numFmtId="10" fontId="8" fillId="17" borderId="0" xfId="0" applyNumberFormat="1" applyFont="1" applyFill="1" applyBorder="1" applyAlignment="1">
      <alignment horizontal="right" vertical="center"/>
    </xf>
    <xf numFmtId="4" fontId="8" fillId="17" borderId="0" xfId="0" applyNumberFormat="1" applyFont="1" applyFill="1" applyBorder="1" applyAlignment="1">
      <alignment vertical="center"/>
    </xf>
    <xf numFmtId="4" fontId="8" fillId="17" borderId="0" xfId="45" applyNumberFormat="1" applyFont="1" applyFill="1" applyBorder="1" applyAlignment="1">
      <alignment vertical="center"/>
    </xf>
    <xf numFmtId="0" fontId="0" fillId="17" borderId="0" xfId="0" applyFill="1"/>
    <xf numFmtId="0" fontId="12" fillId="17" borderId="0" xfId="0" applyFont="1" applyFill="1"/>
    <xf numFmtId="10" fontId="8" fillId="5" borderId="0" xfId="0" applyNumberFormat="1" applyFont="1" applyFill="1" applyBorder="1" applyAlignment="1">
      <alignment horizontal="right" vertical="center"/>
    </xf>
    <xf numFmtId="4" fontId="8" fillId="5" borderId="0" xfId="0" applyNumberFormat="1" applyFont="1" applyFill="1" applyBorder="1" applyAlignment="1">
      <alignment vertical="center"/>
    </xf>
    <xf numFmtId="4" fontId="6" fillId="5" borderId="5" xfId="0" applyNumberFormat="1" applyFont="1" applyFill="1" applyBorder="1" applyAlignment="1">
      <alignment vertical="center"/>
    </xf>
    <xf numFmtId="4" fontId="6" fillId="5" borderId="36" xfId="0" applyNumberFormat="1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30" fillId="0" borderId="0" xfId="0" applyFont="1" applyAlignment="1">
      <alignment wrapText="1"/>
    </xf>
    <xf numFmtId="0" fontId="4" fillId="5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0" fontId="15" fillId="0" borderId="1" xfId="34" applyNumberFormat="1" applyFont="1" applyBorder="1" applyAlignment="1">
      <alignment horizontal="center" vertical="center"/>
    </xf>
    <xf numFmtId="165" fontId="15" fillId="5" borderId="1" xfId="34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0" fontId="15" fillId="0" borderId="1" xfId="34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5" fontId="15" fillId="0" borderId="1" xfId="34" applyNumberFormat="1" applyFont="1" applyFill="1" applyBorder="1" applyAlignment="1">
      <alignment horizontal="center" vertical="center"/>
    </xf>
    <xf numFmtId="4" fontId="17" fillId="0" borderId="27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6" fillId="0" borderId="28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10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4" fontId="7" fillId="0" borderId="13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10" fontId="15" fillId="0" borderId="5" xfId="34" applyNumberFormat="1" applyFont="1" applyBorder="1" applyAlignment="1">
      <alignment horizontal="center" vertical="center"/>
    </xf>
    <xf numFmtId="165" fontId="15" fillId="5" borderId="5" xfId="34" applyNumberFormat="1" applyFont="1" applyFill="1" applyBorder="1" applyAlignment="1">
      <alignment horizontal="center" vertical="center"/>
    </xf>
    <xf numFmtId="0" fontId="22" fillId="8" borderId="0" xfId="24" applyFont="1" applyFill="1" applyBorder="1"/>
    <xf numFmtId="0" fontId="6" fillId="5" borderId="20" xfId="0" quotePrefix="1" applyFont="1" applyFill="1" applyBorder="1" applyAlignment="1">
      <alignment horizontal="center" vertical="center" wrapText="1"/>
    </xf>
    <xf numFmtId="0" fontId="6" fillId="5" borderId="18" xfId="0" quotePrefix="1" applyFont="1" applyFill="1" applyBorder="1" applyAlignment="1">
      <alignment horizontal="center" vertical="center" wrapText="1"/>
    </xf>
    <xf numFmtId="10" fontId="6" fillId="5" borderId="10" xfId="0" applyNumberFormat="1" applyFont="1" applyFill="1" applyBorder="1" applyAlignment="1">
      <alignment horizontal="right" vertical="center"/>
    </xf>
    <xf numFmtId="10" fontId="6" fillId="5" borderId="18" xfId="0" applyNumberFormat="1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8" fillId="5" borderId="20" xfId="0" applyNumberFormat="1" applyFont="1" applyFill="1" applyBorder="1" applyAlignment="1">
      <alignment horizontal="center" vertical="center"/>
    </xf>
    <xf numFmtId="0" fontId="8" fillId="5" borderId="18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10" fontId="15" fillId="8" borderId="0" xfId="0" applyNumberFormat="1" applyFont="1" applyFill="1" applyBorder="1" applyAlignment="1">
      <alignment horizontal="center" vertical="center"/>
    </xf>
    <xf numFmtId="10" fontId="6" fillId="0" borderId="0" xfId="44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1" fillId="5" borderId="24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2" fillId="0" borderId="0" xfId="24" applyFont="1" applyBorder="1"/>
    <xf numFmtId="0" fontId="6" fillId="5" borderId="18" xfId="0" applyFont="1" applyFill="1" applyBorder="1" applyAlignment="1">
      <alignment horizontal="right" vertical="center" wrapText="1"/>
    </xf>
    <xf numFmtId="14" fontId="11" fillId="7" borderId="0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" fontId="11" fillId="7" borderId="0" xfId="0" applyNumberFormat="1" applyFont="1" applyFill="1" applyBorder="1" applyAlignment="1">
      <alignment horizontal="center" vertical="center" wrapText="1"/>
    </xf>
    <xf numFmtId="10" fontId="15" fillId="7" borderId="6" xfId="0" applyNumberFormat="1" applyFont="1" applyFill="1" applyBorder="1" applyAlignment="1">
      <alignment horizontal="center" vertical="center"/>
    </xf>
    <xf numFmtId="10" fontId="15" fillId="7" borderId="0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168" fontId="11" fillId="5" borderId="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0" fontId="8" fillId="5" borderId="20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 wrapText="1"/>
    </xf>
    <xf numFmtId="4" fontId="11" fillId="5" borderId="17" xfId="0" applyNumberFormat="1" applyFont="1" applyFill="1" applyBorder="1" applyAlignment="1">
      <alignment horizontal="center" vertical="center" wrapText="1"/>
    </xf>
    <xf numFmtId="4" fontId="11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right" vertical="center" wrapText="1"/>
    </xf>
    <xf numFmtId="10" fontId="6" fillId="5" borderId="12" xfId="0" applyNumberFormat="1" applyFont="1" applyFill="1" applyBorder="1" applyAlignment="1">
      <alignment horizontal="right" vertical="center"/>
    </xf>
    <xf numFmtId="10" fontId="6" fillId="5" borderId="9" xfId="0" applyNumberFormat="1" applyFont="1" applyFill="1" applyBorder="1" applyAlignment="1">
      <alignment horizontal="right" vertical="center"/>
    </xf>
    <xf numFmtId="0" fontId="11" fillId="5" borderId="12" xfId="0" applyFont="1" applyFill="1" applyBorder="1" applyAlignment="1">
      <alignment horizontal="right"/>
    </xf>
    <xf numFmtId="0" fontId="11" fillId="5" borderId="17" xfId="0" applyFont="1" applyFill="1" applyBorder="1" applyAlignment="1">
      <alignment horizontal="right"/>
    </xf>
    <xf numFmtId="0" fontId="11" fillId="5" borderId="35" xfId="0" applyFont="1" applyFill="1" applyBorder="1" applyAlignment="1">
      <alignment horizontal="right"/>
    </xf>
    <xf numFmtId="0" fontId="6" fillId="5" borderId="10" xfId="0" quotePrefix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6" fillId="11" borderId="33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49" fontId="3" fillId="0" borderId="26" xfId="32" applyNumberFormat="1" applyFont="1" applyBorder="1" applyAlignment="1">
      <alignment horizontal="left" wrapText="1"/>
    </xf>
    <xf numFmtId="49" fontId="3" fillId="0" borderId="21" xfId="32" applyNumberFormat="1" applyFont="1" applyBorder="1" applyAlignment="1">
      <alignment horizontal="left" wrapText="1"/>
    </xf>
    <xf numFmtId="0" fontId="6" fillId="10" borderId="30" xfId="0" applyFont="1" applyFill="1" applyBorder="1" applyAlignment="1">
      <alignment horizontal="left" vertical="center" wrapText="1"/>
    </xf>
    <xf numFmtId="0" fontId="6" fillId="10" borderId="32" xfId="0" applyFont="1" applyFill="1" applyBorder="1" applyAlignment="1">
      <alignment horizontal="left" vertical="center" wrapText="1"/>
    </xf>
    <xf numFmtId="49" fontId="1" fillId="0" borderId="26" xfId="32" applyNumberFormat="1" applyFont="1" applyBorder="1" applyAlignment="1">
      <alignment horizontal="left" wrapText="1"/>
    </xf>
    <xf numFmtId="49" fontId="2" fillId="0" borderId="26" xfId="32" applyNumberFormat="1" applyFont="1" applyBorder="1" applyAlignment="1">
      <alignment horizontal="left" wrapText="1"/>
    </xf>
    <xf numFmtId="49" fontId="2" fillId="0" borderId="21" xfId="32" applyNumberFormat="1" applyFont="1" applyBorder="1" applyAlignment="1">
      <alignment horizontal="left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0" fontId="15" fillId="0" borderId="5" xfId="34" applyNumberFormat="1" applyFont="1" applyFill="1" applyBorder="1" applyAlignment="1">
      <alignment horizontal="center"/>
    </xf>
    <xf numFmtId="10" fontId="15" fillId="0" borderId="4" xfId="34" applyNumberFormat="1" applyFont="1" applyFill="1" applyBorder="1" applyAlignment="1">
      <alignment horizontal="center"/>
    </xf>
    <xf numFmtId="10" fontId="15" fillId="0" borderId="7" xfId="34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65" fontId="15" fillId="0" borderId="5" xfId="34" applyNumberFormat="1" applyFont="1" applyFill="1" applyBorder="1" applyAlignment="1">
      <alignment horizontal="center" vertical="center"/>
    </xf>
    <xf numFmtId="165" fontId="15" fillId="0" borderId="4" xfId="34" applyNumberFormat="1" applyFont="1" applyFill="1" applyBorder="1" applyAlignment="1">
      <alignment horizontal="center" vertical="center"/>
    </xf>
    <xf numFmtId="165" fontId="15" fillId="0" borderId="7" xfId="34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2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15" fillId="0" borderId="5" xfId="50" applyFont="1" applyFill="1" applyBorder="1" applyAlignment="1">
      <alignment horizontal="center"/>
    </xf>
    <xf numFmtId="165" fontId="15" fillId="0" borderId="4" xfId="50" applyFont="1" applyFill="1" applyBorder="1" applyAlignment="1">
      <alignment horizontal="center"/>
    </xf>
    <xf numFmtId="165" fontId="15" fillId="0" borderId="7" xfId="50" applyFont="1" applyFill="1" applyBorder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10" fontId="15" fillId="0" borderId="4" xfId="34" applyNumberFormat="1" applyFont="1" applyBorder="1" applyAlignment="1">
      <alignment horizontal="center" vertical="center"/>
    </xf>
    <xf numFmtId="10" fontId="15" fillId="0" borderId="22" xfId="34" applyNumberFormat="1" applyFont="1" applyBorder="1" applyAlignment="1">
      <alignment horizontal="center" vertical="center"/>
    </xf>
    <xf numFmtId="165" fontId="15" fillId="0" borderId="22" xfId="34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6</xdr:row>
      <xdr:rowOff>76200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3</xdr:col>
      <xdr:colOff>152400</xdr:colOff>
      <xdr:row>22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152400</xdr:colOff>
      <xdr:row>22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152400</xdr:colOff>
      <xdr:row>28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152400</xdr:colOff>
      <xdr:row>37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46944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showGridLines="0" tabSelected="1" workbookViewId="0">
      <selection activeCell="J4" sqref="J4"/>
    </sheetView>
  </sheetViews>
  <sheetFormatPr defaultColWidth="11.42578125" defaultRowHeight="12.75"/>
  <cols>
    <col min="1" max="1" width="0.7109375" style="10" customWidth="1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6" width="0.7109375" style="10" customWidth="1"/>
    <col min="7" max="16384" width="11.42578125" style="10"/>
  </cols>
  <sheetData>
    <row r="1" spans="1:6" ht="33" customHeight="1" thickBot="1"/>
    <row r="2" spans="1:6" ht="5.25" customHeight="1">
      <c r="A2" s="25"/>
      <c r="B2" s="232"/>
      <c r="C2" s="226"/>
      <c r="D2" s="226"/>
      <c r="E2" s="235"/>
      <c r="F2" s="25"/>
    </row>
    <row r="3" spans="1:6" ht="24" customHeight="1">
      <c r="A3" s="25"/>
      <c r="B3" s="309" t="s">
        <v>21</v>
      </c>
      <c r="C3" s="310"/>
      <c r="D3" s="310"/>
      <c r="E3" s="311"/>
      <c r="F3" s="25"/>
    </row>
    <row r="4" spans="1:6" ht="48.75" customHeight="1">
      <c r="A4" s="25"/>
      <c r="B4" s="312" t="str">
        <f>'planilha de orçamento'!B5:I5</f>
        <v xml:space="preserve">                                     Execução de Obras de Ampliação e Adequação da Unidade de Saúde do Posto de Saúde Indigena Aldeia Água Limpa-Anexo Alojamento</v>
      </c>
      <c r="C4" s="313"/>
      <c r="D4" s="313"/>
      <c r="E4" s="314"/>
      <c r="F4" s="25"/>
    </row>
    <row r="5" spans="1:6" ht="24" customHeight="1" thickBot="1">
      <c r="A5" s="25"/>
      <c r="B5" s="302" t="str">
        <f>'planilha de orçamento'!B6:I6</f>
        <v xml:space="preserve"> Local da Obra:Aldeia indigena Água Limpa                                                                                                                                          Coordenadas geograficas da Obra:Latitude 14°26'25.20"S - Longitude 53°28'51.60"O</v>
      </c>
      <c r="C5" s="303"/>
      <c r="D5" s="303"/>
      <c r="E5" s="304"/>
      <c r="F5" s="25"/>
    </row>
    <row r="6" spans="1:6" ht="21" customHeight="1" thickBot="1">
      <c r="A6" s="25"/>
      <c r="B6" s="305" t="str">
        <f>'planilha de orçamento'!H10</f>
        <v>DATA:15/09/2018</v>
      </c>
      <c r="C6" s="306"/>
      <c r="D6" s="236"/>
      <c r="E6" s="237" t="str">
        <f>'planilha de orçamento'!H7</f>
        <v>B.D.I: 27,63%</v>
      </c>
      <c r="F6" s="231"/>
    </row>
    <row r="7" spans="1:6" ht="6.75" customHeight="1">
      <c r="A7" s="25"/>
      <c r="B7" s="234"/>
      <c r="C7" s="227"/>
      <c r="D7" s="227"/>
      <c r="E7" s="227"/>
      <c r="F7" s="25"/>
    </row>
    <row r="8" spans="1:6">
      <c r="A8" s="25"/>
      <c r="B8" s="315" t="s">
        <v>22</v>
      </c>
      <c r="C8" s="315" t="s">
        <v>8</v>
      </c>
      <c r="D8" s="315" t="s">
        <v>9</v>
      </c>
      <c r="E8" s="238" t="s">
        <v>10</v>
      </c>
      <c r="F8" s="25"/>
    </row>
    <row r="9" spans="1:6">
      <c r="A9" s="25"/>
      <c r="B9" s="315"/>
      <c r="C9" s="315"/>
      <c r="D9" s="315"/>
      <c r="E9" s="238" t="s">
        <v>11</v>
      </c>
      <c r="F9" s="25"/>
    </row>
    <row r="10" spans="1:6" hidden="1">
      <c r="A10" s="25"/>
      <c r="B10" s="288">
        <v>1</v>
      </c>
      <c r="C10" s="289" t="s">
        <v>102</v>
      </c>
      <c r="D10" s="307">
        <f>(E10/E51)</f>
        <v>0</v>
      </c>
      <c r="E10" s="308">
        <f>'planilha de orçamento'!I17</f>
        <v>0</v>
      </c>
      <c r="F10" s="25"/>
    </row>
    <row r="11" spans="1:6" hidden="1">
      <c r="A11" s="25"/>
      <c r="B11" s="288"/>
      <c r="C11" s="289"/>
      <c r="D11" s="307"/>
      <c r="E11" s="308"/>
      <c r="F11" s="25"/>
    </row>
    <row r="12" spans="1:6">
      <c r="A12" s="25"/>
      <c r="B12" s="288">
        <v>1</v>
      </c>
      <c r="C12" s="289" t="s">
        <v>23</v>
      </c>
      <c r="D12" s="290">
        <f>E12/$E$51</f>
        <v>4.9055629533284704E-2</v>
      </c>
      <c r="E12" s="301">
        <f>'planilha de orçamento'!I21</f>
        <v>5296.42</v>
      </c>
      <c r="F12" s="25"/>
    </row>
    <row r="13" spans="1:6">
      <c r="A13" s="25"/>
      <c r="B13" s="288"/>
      <c r="C13" s="289"/>
      <c r="D13" s="290"/>
      <c r="E13" s="301"/>
      <c r="F13" s="25"/>
    </row>
    <row r="14" spans="1:6" ht="5.25" hidden="1" customHeight="1">
      <c r="A14" s="25"/>
      <c r="B14" s="288"/>
      <c r="C14" s="289"/>
      <c r="D14" s="290"/>
      <c r="E14" s="301"/>
      <c r="F14" s="25"/>
    </row>
    <row r="15" spans="1:6">
      <c r="A15" s="25"/>
      <c r="B15" s="288">
        <v>2</v>
      </c>
      <c r="C15" s="289" t="s">
        <v>24</v>
      </c>
      <c r="D15" s="290">
        <f>E15/$E$51</f>
        <v>5.9620648073360309E-3</v>
      </c>
      <c r="E15" s="291">
        <f>'planilha de orçamento'!I26</f>
        <v>643.71</v>
      </c>
      <c r="F15" s="25"/>
    </row>
    <row r="16" spans="1:6">
      <c r="A16" s="25"/>
      <c r="B16" s="288"/>
      <c r="C16" s="289"/>
      <c r="D16" s="290"/>
      <c r="E16" s="291"/>
      <c r="F16" s="25"/>
    </row>
    <row r="17" spans="1:9">
      <c r="A17" s="25"/>
      <c r="B17" s="288">
        <v>3</v>
      </c>
      <c r="C17" s="289" t="s">
        <v>80</v>
      </c>
      <c r="D17" s="290">
        <f>E17/$E$51</f>
        <v>9.0579742360702847E-2</v>
      </c>
      <c r="E17" s="291">
        <f>'planilha de orçamento'!I36</f>
        <v>9779.68</v>
      </c>
      <c r="F17" s="25"/>
    </row>
    <row r="18" spans="1:9">
      <c r="A18" s="25"/>
      <c r="B18" s="288"/>
      <c r="C18" s="289"/>
      <c r="D18" s="290"/>
      <c r="E18" s="291"/>
      <c r="F18" s="25"/>
    </row>
    <row r="19" spans="1:9" ht="3.75" customHeight="1">
      <c r="A19" s="25"/>
      <c r="B19" s="288"/>
      <c r="C19" s="289"/>
      <c r="D19" s="290"/>
      <c r="E19" s="291"/>
      <c r="F19" s="25"/>
    </row>
    <row r="20" spans="1:9">
      <c r="A20" s="25"/>
      <c r="B20" s="288">
        <v>4</v>
      </c>
      <c r="C20" s="293" t="s">
        <v>29</v>
      </c>
      <c r="D20" s="290">
        <f>E20/$E$51</f>
        <v>7.8396460995538708E-2</v>
      </c>
      <c r="E20" s="291">
        <f>'planilha de orçamento'!I44</f>
        <v>8464.2800000000007</v>
      </c>
      <c r="F20" s="25"/>
    </row>
    <row r="21" spans="1:9">
      <c r="A21" s="25"/>
      <c r="B21" s="288"/>
      <c r="C21" s="293"/>
      <c r="D21" s="290"/>
      <c r="E21" s="291"/>
      <c r="F21" s="25"/>
      <c r="I21" s="60"/>
    </row>
    <row r="22" spans="1:9" ht="4.5" customHeight="1">
      <c r="A22" s="25"/>
      <c r="B22" s="288"/>
      <c r="C22" s="293"/>
      <c r="D22" s="290"/>
      <c r="E22" s="291"/>
      <c r="F22" s="25"/>
    </row>
    <row r="23" spans="1:9" ht="13.5" customHeight="1">
      <c r="A23" s="25"/>
      <c r="B23" s="288">
        <v>5</v>
      </c>
      <c r="C23" s="289" t="s">
        <v>81</v>
      </c>
      <c r="D23" s="290">
        <f>E23/$E$51</f>
        <v>4.49180930793953E-3</v>
      </c>
      <c r="E23" s="291">
        <f>'planilha de orçamento'!I47</f>
        <v>484.97</v>
      </c>
      <c r="F23" s="25"/>
    </row>
    <row r="24" spans="1:9">
      <c r="A24" s="25"/>
      <c r="B24" s="288"/>
      <c r="C24" s="289"/>
      <c r="D24" s="290"/>
      <c r="E24" s="291"/>
      <c r="F24" s="25"/>
    </row>
    <row r="25" spans="1:9" ht="5.25" customHeight="1">
      <c r="A25" s="25"/>
      <c r="B25" s="288"/>
      <c r="C25" s="289"/>
      <c r="D25" s="290"/>
      <c r="E25" s="291"/>
      <c r="F25" s="25"/>
    </row>
    <row r="26" spans="1:9">
      <c r="A26" s="25"/>
      <c r="B26" s="292">
        <v>6</v>
      </c>
      <c r="C26" s="293" t="s">
        <v>82</v>
      </c>
      <c r="D26" s="294">
        <f>E26/$E$51</f>
        <v>0.11842799681824634</v>
      </c>
      <c r="E26" s="291">
        <f>('planilha de orçamento'!I53)</f>
        <v>12786.390000000001</v>
      </c>
      <c r="F26" s="25"/>
    </row>
    <row r="27" spans="1:9">
      <c r="A27" s="25"/>
      <c r="B27" s="292"/>
      <c r="C27" s="293"/>
      <c r="D27" s="294"/>
      <c r="E27" s="291"/>
      <c r="F27" s="25"/>
    </row>
    <row r="28" spans="1:9" ht="6" customHeight="1">
      <c r="A28" s="25"/>
      <c r="B28" s="292"/>
      <c r="C28" s="293"/>
      <c r="D28" s="294"/>
      <c r="E28" s="291"/>
      <c r="F28" s="25"/>
    </row>
    <row r="29" spans="1:9">
      <c r="A29" s="25"/>
      <c r="B29" s="298">
        <v>7</v>
      </c>
      <c r="C29" s="295" t="s">
        <v>83</v>
      </c>
      <c r="D29" s="290">
        <f>E29/$E$51</f>
        <v>0.14687207801307203</v>
      </c>
      <c r="E29" s="291">
        <f>('planilha de orçamento'!I59)</f>
        <v>15857.43</v>
      </c>
      <c r="F29" s="25"/>
    </row>
    <row r="30" spans="1:9" ht="11.25" customHeight="1">
      <c r="A30" s="25"/>
      <c r="B30" s="299"/>
      <c r="C30" s="296"/>
      <c r="D30" s="290"/>
      <c r="E30" s="291"/>
      <c r="F30" s="25"/>
    </row>
    <row r="31" spans="1:9" ht="6.75" customHeight="1">
      <c r="A31" s="25"/>
      <c r="B31" s="300"/>
      <c r="C31" s="297"/>
      <c r="D31" s="290"/>
      <c r="E31" s="291"/>
      <c r="F31" s="25"/>
    </row>
    <row r="32" spans="1:9">
      <c r="A32" s="25"/>
      <c r="B32" s="288">
        <v>8</v>
      </c>
      <c r="C32" s="289" t="s">
        <v>84</v>
      </c>
      <c r="D32" s="290">
        <f>E32/$E$51</f>
        <v>7.9220226424014967E-2</v>
      </c>
      <c r="E32" s="291">
        <f>('planilha de orçamento'!I65)</f>
        <v>8553.2199999999993</v>
      </c>
      <c r="F32" s="25"/>
    </row>
    <row r="33" spans="1:6" ht="19.5" customHeight="1">
      <c r="A33" s="25"/>
      <c r="B33" s="288"/>
      <c r="C33" s="289"/>
      <c r="D33" s="290"/>
      <c r="E33" s="291"/>
      <c r="F33" s="25"/>
    </row>
    <row r="34" spans="1:6">
      <c r="A34" s="25"/>
      <c r="B34" s="288">
        <v>9</v>
      </c>
      <c r="C34" s="289" t="s">
        <v>270</v>
      </c>
      <c r="D34" s="290">
        <f>E34/$E$51</f>
        <v>3.5806287893580195E-2</v>
      </c>
      <c r="E34" s="291">
        <f>('planilha de orçamento'!I69)</f>
        <v>3865.92</v>
      </c>
      <c r="F34" s="25"/>
    </row>
    <row r="35" spans="1:6" ht="19.5" customHeight="1">
      <c r="A35" s="25"/>
      <c r="B35" s="288"/>
      <c r="C35" s="289"/>
      <c r="D35" s="290"/>
      <c r="E35" s="291"/>
      <c r="F35" s="25"/>
    </row>
    <row r="36" spans="1:6">
      <c r="A36" s="25"/>
      <c r="B36" s="288">
        <v>10</v>
      </c>
      <c r="C36" s="289" t="s">
        <v>85</v>
      </c>
      <c r="D36" s="290">
        <f>E36/$E$51</f>
        <v>5.3143891958846098E-2</v>
      </c>
      <c r="E36" s="291">
        <f>('planilha de orçamento'!I76)</f>
        <v>5737.82</v>
      </c>
      <c r="F36" s="25"/>
    </row>
    <row r="37" spans="1:6" ht="19.5" customHeight="1">
      <c r="A37" s="25"/>
      <c r="B37" s="288"/>
      <c r="C37" s="289"/>
      <c r="D37" s="290"/>
      <c r="E37" s="291"/>
      <c r="F37" s="25"/>
    </row>
    <row r="38" spans="1:6">
      <c r="A38" s="25"/>
      <c r="B38" s="288">
        <v>11</v>
      </c>
      <c r="C38" s="289" t="s">
        <v>30</v>
      </c>
      <c r="D38" s="290">
        <f>E38/$E$51</f>
        <v>5.8677946995905506E-2</v>
      </c>
      <c r="E38" s="291">
        <f>('planilha de orçamento'!I82)</f>
        <v>6335.3188</v>
      </c>
      <c r="F38" s="25"/>
    </row>
    <row r="39" spans="1:6" ht="20.25" customHeight="1">
      <c r="A39" s="25"/>
      <c r="B39" s="288"/>
      <c r="C39" s="289"/>
      <c r="D39" s="290"/>
      <c r="E39" s="291"/>
      <c r="F39" s="25"/>
    </row>
    <row r="40" spans="1:6">
      <c r="A40" s="25"/>
      <c r="B40" s="288">
        <v>12</v>
      </c>
      <c r="C40" s="289" t="s">
        <v>86</v>
      </c>
      <c r="D40" s="290">
        <f>E40/$E$51</f>
        <v>4.0640051548487835E-2</v>
      </c>
      <c r="E40" s="291">
        <f>('planilha de orçamento'!I87)</f>
        <v>4387.8099999999995</v>
      </c>
      <c r="F40" s="25"/>
    </row>
    <row r="41" spans="1:6" ht="18" customHeight="1">
      <c r="A41" s="25"/>
      <c r="B41" s="288"/>
      <c r="C41" s="289"/>
      <c r="D41" s="290"/>
      <c r="E41" s="291"/>
      <c r="F41" s="25"/>
    </row>
    <row r="42" spans="1:6">
      <c r="A42" s="25"/>
      <c r="B42" s="288">
        <v>13</v>
      </c>
      <c r="C42" s="289" t="s">
        <v>87</v>
      </c>
      <c r="D42" s="290">
        <f>E42/$E$51</f>
        <v>0.16773055221529512</v>
      </c>
      <c r="E42" s="291">
        <f>('planilha de orçamento'!I140)</f>
        <v>18109.47</v>
      </c>
      <c r="F42" s="25"/>
    </row>
    <row r="43" spans="1:6">
      <c r="A43" s="25"/>
      <c r="B43" s="288"/>
      <c r="C43" s="289"/>
      <c r="D43" s="290"/>
      <c r="E43" s="291"/>
      <c r="F43" s="25"/>
    </row>
    <row r="44" spans="1:6">
      <c r="A44" s="25"/>
      <c r="B44" s="288"/>
      <c r="C44" s="289"/>
      <c r="D44" s="290"/>
      <c r="E44" s="291"/>
      <c r="F44" s="25"/>
    </row>
    <row r="45" spans="1:6">
      <c r="A45" s="25"/>
      <c r="B45" s="288">
        <v>14</v>
      </c>
      <c r="C45" s="289" t="s">
        <v>135</v>
      </c>
      <c r="D45" s="290">
        <f>E45/$E$51</f>
        <v>6.8560086780381363E-2</v>
      </c>
      <c r="E45" s="291">
        <f>('planilha de orçamento'!I166)</f>
        <v>7402.2700000000023</v>
      </c>
      <c r="F45" s="25"/>
    </row>
    <row r="46" spans="1:6">
      <c r="A46" s="25"/>
      <c r="B46" s="288"/>
      <c r="C46" s="289"/>
      <c r="D46" s="290"/>
      <c r="E46" s="291"/>
      <c r="F46" s="25"/>
    </row>
    <row r="47" spans="1:6">
      <c r="A47" s="25"/>
      <c r="B47" s="288"/>
      <c r="C47" s="289"/>
      <c r="D47" s="290"/>
      <c r="E47" s="291"/>
      <c r="F47" s="25"/>
    </row>
    <row r="48" spans="1:6">
      <c r="A48" s="25"/>
      <c r="B48" s="288">
        <v>15</v>
      </c>
      <c r="C48" s="289" t="s">
        <v>226</v>
      </c>
      <c r="D48" s="290">
        <f>E48/$E$51</f>
        <v>2.4351743473688295E-3</v>
      </c>
      <c r="E48" s="291">
        <f>('planilha de orçamento'!I169)</f>
        <v>262.92</v>
      </c>
      <c r="F48" s="25"/>
    </row>
    <row r="49" spans="1:6">
      <c r="A49" s="25"/>
      <c r="B49" s="288"/>
      <c r="C49" s="289"/>
      <c r="D49" s="290"/>
      <c r="E49" s="291"/>
      <c r="F49" s="25"/>
    </row>
    <row r="50" spans="1:6" ht="13.5" thickBot="1">
      <c r="A50" s="25"/>
      <c r="B50" s="298"/>
      <c r="C50" s="295"/>
      <c r="D50" s="318"/>
      <c r="E50" s="319"/>
      <c r="F50" s="25"/>
    </row>
    <row r="51" spans="1:6">
      <c r="A51" s="25"/>
      <c r="B51" s="316" t="s">
        <v>18</v>
      </c>
      <c r="C51" s="317"/>
      <c r="D51" s="241">
        <f>SUM(D10:D50)</f>
        <v>1</v>
      </c>
      <c r="E51" s="239">
        <f>SUM(E10:E50)</f>
        <v>107967.62879999999</v>
      </c>
      <c r="F51" s="25"/>
    </row>
    <row r="52" spans="1:6" ht="5.25" customHeight="1" thickBot="1">
      <c r="A52" s="25"/>
      <c r="B52" s="233"/>
      <c r="C52" s="26"/>
      <c r="D52" s="242"/>
      <c r="E52" s="240"/>
      <c r="F52" s="25"/>
    </row>
    <row r="53" spans="1:6">
      <c r="B53" s="24"/>
      <c r="C53" s="57"/>
      <c r="D53" s="57"/>
      <c r="E53" s="57"/>
    </row>
    <row r="54" spans="1:6">
      <c r="B54" s="24"/>
      <c r="C54" s="24"/>
      <c r="D54" s="24"/>
      <c r="E54" s="24"/>
    </row>
    <row r="55" spans="1:6">
      <c r="D55" s="25"/>
      <c r="E55" s="25"/>
    </row>
    <row r="56" spans="1:6">
      <c r="D56" s="25"/>
      <c r="E56" s="58"/>
    </row>
    <row r="57" spans="1:6">
      <c r="D57" s="25"/>
      <c r="E57" s="58"/>
    </row>
    <row r="58" spans="1:6">
      <c r="E58" s="59"/>
    </row>
  </sheetData>
  <mergeCells count="72">
    <mergeCell ref="C20:C22"/>
    <mergeCell ref="D20:D22"/>
    <mergeCell ref="E20:E22"/>
    <mergeCell ref="B23:B25"/>
    <mergeCell ref="C23:C25"/>
    <mergeCell ref="D23:D25"/>
    <mergeCell ref="B51:C51"/>
    <mergeCell ref="B38:B39"/>
    <mergeCell ref="C38:C39"/>
    <mergeCell ref="D38:D39"/>
    <mergeCell ref="E38:E39"/>
    <mergeCell ref="B40:B41"/>
    <mergeCell ref="C40:C41"/>
    <mergeCell ref="D40:D41"/>
    <mergeCell ref="E42:E44"/>
    <mergeCell ref="B45:B47"/>
    <mergeCell ref="C45:C47"/>
    <mergeCell ref="D45:D47"/>
    <mergeCell ref="B48:B50"/>
    <mergeCell ref="C48:C50"/>
    <mergeCell ref="D48:D50"/>
    <mergeCell ref="E48:E50"/>
    <mergeCell ref="B3:E3"/>
    <mergeCell ref="E23:E25"/>
    <mergeCell ref="B15:B16"/>
    <mergeCell ref="C15:C16"/>
    <mergeCell ref="D15:D16"/>
    <mergeCell ref="E15:E16"/>
    <mergeCell ref="B17:B19"/>
    <mergeCell ref="C17:C19"/>
    <mergeCell ref="D17:D19"/>
    <mergeCell ref="E17:E19"/>
    <mergeCell ref="B4:E4"/>
    <mergeCell ref="B8:B9"/>
    <mergeCell ref="C8:C9"/>
    <mergeCell ref="D8:D9"/>
    <mergeCell ref="B12:B14"/>
    <mergeCell ref="B20:B22"/>
    <mergeCell ref="D12:D14"/>
    <mergeCell ref="E12:E14"/>
    <mergeCell ref="B5:E5"/>
    <mergeCell ref="B6:C6"/>
    <mergeCell ref="B10:B11"/>
    <mergeCell ref="C10:C11"/>
    <mergeCell ref="D10:D11"/>
    <mergeCell ref="E10:E11"/>
    <mergeCell ref="C12:C14"/>
    <mergeCell ref="B26:B28"/>
    <mergeCell ref="C26:C28"/>
    <mergeCell ref="E26:E28"/>
    <mergeCell ref="B36:B37"/>
    <mergeCell ref="C36:C37"/>
    <mergeCell ref="D36:D37"/>
    <mergeCell ref="E36:E37"/>
    <mergeCell ref="D26:D28"/>
    <mergeCell ref="B32:B33"/>
    <mergeCell ref="C32:C33"/>
    <mergeCell ref="D32:D33"/>
    <mergeCell ref="E32:E33"/>
    <mergeCell ref="C29:C31"/>
    <mergeCell ref="B29:B31"/>
    <mergeCell ref="D29:D31"/>
    <mergeCell ref="E29:E31"/>
    <mergeCell ref="B34:B35"/>
    <mergeCell ref="C34:C35"/>
    <mergeCell ref="D34:D35"/>
    <mergeCell ref="E34:E35"/>
    <mergeCell ref="E45:E47"/>
    <mergeCell ref="E40:E41"/>
    <mergeCell ref="B42:B44"/>
    <mergeCell ref="C42:C44"/>
    <mergeCell ref="D42:D44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83"/>
  <sheetViews>
    <sheetView view="pageBreakPreview" topLeftCell="A159" zoomScaleNormal="85" zoomScaleSheetLayoutView="100" workbookViewId="0">
      <selection activeCell="A164" sqref="A164:XFD164"/>
    </sheetView>
  </sheetViews>
  <sheetFormatPr defaultRowHeight="12.75"/>
  <cols>
    <col min="1" max="1" width="3.5703125" customWidth="1"/>
    <col min="2" max="2" width="7.28515625" customWidth="1"/>
    <col min="3" max="3" width="68.28515625" customWidth="1"/>
    <col min="4" max="4" width="5" style="3" customWidth="1"/>
    <col min="5" max="5" width="12.85546875" style="4" customWidth="1"/>
    <col min="6" max="6" width="9.140625" style="4" bestFit="1" customWidth="1"/>
    <col min="7" max="7" width="10" style="5" customWidth="1"/>
    <col min="8" max="8" width="10.85546875" customWidth="1"/>
    <col min="9" max="9" width="11" bestFit="1" customWidth="1"/>
    <col min="10" max="10" width="8.28515625" hidden="1" customWidth="1"/>
    <col min="11" max="11" width="12.140625" hidden="1" customWidth="1"/>
    <col min="12" max="12" width="12.140625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2:17" ht="5.25" customHeight="1" thickBot="1"/>
    <row r="2" spans="2:17" s="1" customFormat="1" ht="5.25" customHeight="1">
      <c r="B2" s="362"/>
      <c r="C2" s="363"/>
      <c r="D2" s="363"/>
      <c r="E2" s="363"/>
      <c r="F2" s="363"/>
      <c r="G2" s="363"/>
      <c r="H2" s="363"/>
      <c r="I2" s="364"/>
      <c r="J2" s="110"/>
      <c r="K2" s="110"/>
      <c r="L2" s="64"/>
      <c r="N2" s="6"/>
    </row>
    <row r="3" spans="2:17" s="1" customFormat="1" ht="20.25" customHeight="1">
      <c r="B3" s="354" t="s">
        <v>89</v>
      </c>
      <c r="C3" s="355"/>
      <c r="D3" s="355"/>
      <c r="E3" s="355"/>
      <c r="F3" s="355"/>
      <c r="G3" s="355"/>
      <c r="H3" s="355"/>
      <c r="I3" s="356"/>
      <c r="J3" s="107"/>
      <c r="K3" s="107"/>
      <c r="L3" s="92"/>
      <c r="N3" s="6"/>
    </row>
    <row r="4" spans="2:17" s="1" customFormat="1" ht="2.25" customHeight="1">
      <c r="B4" s="243"/>
      <c r="C4" s="107"/>
      <c r="D4" s="107"/>
      <c r="E4" s="107"/>
      <c r="F4" s="107"/>
      <c r="G4" s="107"/>
      <c r="H4" s="107"/>
      <c r="I4" s="244"/>
      <c r="J4" s="107"/>
      <c r="K4" s="107"/>
      <c r="L4" s="92"/>
      <c r="N4" s="6"/>
    </row>
    <row r="5" spans="2:17" s="1" customFormat="1" ht="37.5" customHeight="1">
      <c r="B5" s="357" t="s">
        <v>412</v>
      </c>
      <c r="C5" s="358"/>
      <c r="D5" s="358"/>
      <c r="E5" s="358"/>
      <c r="F5" s="358"/>
      <c r="G5" s="358"/>
      <c r="H5" s="358"/>
      <c r="I5" s="380"/>
      <c r="J5" s="108"/>
      <c r="K5" s="108"/>
      <c r="L5" s="92"/>
      <c r="N5" s="6"/>
    </row>
    <row r="6" spans="2:17" s="1" customFormat="1" ht="42" customHeight="1">
      <c r="B6" s="357" t="s">
        <v>340</v>
      </c>
      <c r="C6" s="358"/>
      <c r="D6" s="358"/>
      <c r="E6" s="358"/>
      <c r="F6" s="358"/>
      <c r="G6" s="358"/>
      <c r="H6" s="358"/>
      <c r="I6" s="380"/>
      <c r="J6" s="109"/>
      <c r="K6" s="109"/>
      <c r="L6" s="9"/>
      <c r="N6" s="6"/>
    </row>
    <row r="7" spans="2:17" s="1" customFormat="1" ht="17.25" customHeight="1">
      <c r="B7" s="357" t="s">
        <v>139</v>
      </c>
      <c r="C7" s="358"/>
      <c r="D7" s="358"/>
      <c r="E7" s="358"/>
      <c r="F7" s="358"/>
      <c r="G7" s="358"/>
      <c r="H7" s="359" t="s">
        <v>88</v>
      </c>
      <c r="I7" s="360"/>
      <c r="J7" s="332" t="s">
        <v>88</v>
      </c>
      <c r="K7" s="332"/>
      <c r="L7" s="92"/>
      <c r="N7" s="6"/>
    </row>
    <row r="8" spans="2:17" s="1" customFormat="1" ht="12.75" customHeight="1">
      <c r="B8" s="336" t="s">
        <v>99</v>
      </c>
      <c r="C8" s="337"/>
      <c r="D8" s="337"/>
      <c r="E8" s="337"/>
      <c r="F8" s="337"/>
      <c r="G8" s="337"/>
      <c r="H8" s="337"/>
      <c r="I8" s="338"/>
      <c r="J8" s="332" t="s">
        <v>88</v>
      </c>
      <c r="K8" s="332"/>
      <c r="L8" s="92"/>
      <c r="N8" s="6"/>
    </row>
    <row r="9" spans="2:17" s="1" customFormat="1" ht="5.25" customHeight="1" thickBot="1">
      <c r="B9" s="333"/>
      <c r="C9" s="334"/>
      <c r="D9" s="334"/>
      <c r="E9" s="334"/>
      <c r="F9" s="334"/>
      <c r="G9" s="334"/>
      <c r="H9" s="334"/>
      <c r="I9" s="335"/>
      <c r="J9" s="91"/>
      <c r="K9" s="63"/>
      <c r="L9" s="63"/>
      <c r="N9" s="6"/>
    </row>
    <row r="10" spans="2:17" s="1" customFormat="1" ht="15" customHeight="1">
      <c r="B10" s="340" t="s">
        <v>272</v>
      </c>
      <c r="C10" s="341"/>
      <c r="D10" s="341"/>
      <c r="E10" s="341"/>
      <c r="F10" s="341"/>
      <c r="G10" s="341"/>
      <c r="H10" s="342" t="s">
        <v>339</v>
      </c>
      <c r="I10" s="343"/>
      <c r="J10" s="339" t="s">
        <v>53</v>
      </c>
      <c r="K10" s="339"/>
      <c r="L10" s="65"/>
      <c r="N10" s="6"/>
    </row>
    <row r="11" spans="2:17" s="1" customFormat="1" ht="1.5" customHeight="1">
      <c r="B11" s="367"/>
      <c r="C11" s="368"/>
      <c r="D11" s="368"/>
      <c r="E11" s="368"/>
      <c r="F11" s="368"/>
      <c r="G11" s="369"/>
      <c r="H11" s="369"/>
      <c r="I11" s="370"/>
      <c r="J11" s="92"/>
      <c r="K11" s="92"/>
      <c r="L11" s="92"/>
      <c r="N11" s="6"/>
    </row>
    <row r="12" spans="2:17" s="1" customFormat="1" ht="15">
      <c r="B12" s="371" t="s">
        <v>0</v>
      </c>
      <c r="C12" s="350" t="s">
        <v>1</v>
      </c>
      <c r="D12" s="350" t="s">
        <v>2</v>
      </c>
      <c r="E12" s="344" t="s">
        <v>54</v>
      </c>
      <c r="F12" s="361" t="s">
        <v>37</v>
      </c>
      <c r="G12" s="374" t="s">
        <v>36</v>
      </c>
      <c r="H12" s="375"/>
      <c r="I12" s="376"/>
      <c r="J12" s="349">
        <v>42933</v>
      </c>
      <c r="K12" s="349"/>
      <c r="L12" s="66"/>
      <c r="N12" s="6"/>
    </row>
    <row r="13" spans="2:17" s="1" customFormat="1" ht="15" customHeight="1">
      <c r="B13" s="372"/>
      <c r="C13" s="350"/>
      <c r="D13" s="350"/>
      <c r="E13" s="345"/>
      <c r="F13" s="361"/>
      <c r="G13" s="377"/>
      <c r="H13" s="378"/>
      <c r="I13" s="379"/>
      <c r="J13" s="351" t="s">
        <v>49</v>
      </c>
      <c r="K13" s="351"/>
      <c r="L13" s="67"/>
      <c r="N13" s="6"/>
    </row>
    <row r="14" spans="2:17" s="2" customFormat="1" ht="12.75" customHeight="1">
      <c r="B14" s="373"/>
      <c r="C14" s="350"/>
      <c r="D14" s="350"/>
      <c r="E14" s="346"/>
      <c r="F14" s="361"/>
      <c r="G14" s="62" t="s">
        <v>3</v>
      </c>
      <c r="H14" s="62" t="s">
        <v>33</v>
      </c>
      <c r="I14" s="62" t="s">
        <v>34</v>
      </c>
      <c r="J14" s="111" t="s">
        <v>9</v>
      </c>
      <c r="K14" s="112" t="s">
        <v>50</v>
      </c>
      <c r="L14" s="68"/>
      <c r="M14" s="7"/>
      <c r="N14" s="7"/>
    </row>
    <row r="15" spans="2:17" s="1" customFormat="1" ht="15.75" customHeight="1">
      <c r="B15" s="195"/>
      <c r="C15" s="21"/>
      <c r="D15" s="20"/>
      <c r="E15" s="18"/>
      <c r="F15" s="22"/>
      <c r="G15" s="17"/>
      <c r="H15" s="23">
        <v>0.27629999999999999</v>
      </c>
      <c r="I15" s="23"/>
      <c r="J15" s="352" t="s">
        <v>51</v>
      </c>
      <c r="K15" s="353"/>
      <c r="L15" s="69"/>
      <c r="N15" s="347"/>
      <c r="O15" s="347"/>
      <c r="P15" s="347"/>
      <c r="Q15" s="83"/>
    </row>
    <row r="16" spans="2:17" s="2" customFormat="1" ht="30.75" hidden="1" customHeight="1">
      <c r="B16" s="196" t="s">
        <v>106</v>
      </c>
      <c r="C16" s="81" t="s">
        <v>98</v>
      </c>
      <c r="D16" s="251" t="s">
        <v>77</v>
      </c>
      <c r="E16" s="250" t="s">
        <v>68</v>
      </c>
      <c r="F16" s="78">
        <v>0</v>
      </c>
      <c r="G16" s="79">
        <v>5213.68</v>
      </c>
      <c r="H16" s="80">
        <f>TRUNC(G16*$H$15+G16,2)</f>
        <v>6654.21</v>
      </c>
      <c r="I16" s="80">
        <f>TRUNC(H16*F16,2)</f>
        <v>0</v>
      </c>
      <c r="J16" s="113">
        <v>0</v>
      </c>
      <c r="K16" s="114" t="e">
        <f>(J16*#REF!)</f>
        <v>#REF!</v>
      </c>
      <c r="L16" s="70"/>
      <c r="N16" s="347"/>
      <c r="O16" s="347"/>
      <c r="P16" s="347"/>
      <c r="Q16" s="83"/>
    </row>
    <row r="17" spans="2:17" s="2" customFormat="1" ht="15.75" hidden="1" customHeight="1">
      <c r="B17" s="325" t="s">
        <v>6</v>
      </c>
      <c r="C17" s="326"/>
      <c r="D17" s="326"/>
      <c r="E17" s="326"/>
      <c r="F17" s="348"/>
      <c r="G17" s="323">
        <f>(100%)</f>
        <v>1</v>
      </c>
      <c r="H17" s="324"/>
      <c r="I17" s="197">
        <f>SUM(I16)</f>
        <v>0</v>
      </c>
      <c r="J17" s="115" t="e">
        <f>(K17/#REF!)</f>
        <v>#REF!</v>
      </c>
      <c r="K17" s="116" t="e">
        <f>SUM(K15:K16)</f>
        <v>#REF!</v>
      </c>
      <c r="L17" s="71"/>
      <c r="N17" s="7"/>
    </row>
    <row r="18" spans="2:17" s="94" customFormat="1" ht="15.75" customHeight="1">
      <c r="B18" s="195">
        <v>1</v>
      </c>
      <c r="C18" s="21" t="s">
        <v>4</v>
      </c>
      <c r="D18" s="20"/>
      <c r="E18" s="18"/>
      <c r="F18" s="22"/>
      <c r="G18" s="17"/>
      <c r="H18" s="23"/>
      <c r="I18" s="23"/>
      <c r="J18" s="331" t="s">
        <v>51</v>
      </c>
      <c r="K18" s="331"/>
      <c r="L18" s="93"/>
      <c r="N18" s="320"/>
      <c r="O18" s="320"/>
      <c r="P18" s="320"/>
      <c r="Q18" s="95"/>
    </row>
    <row r="19" spans="2:17" s="97" customFormat="1" ht="18" customHeight="1">
      <c r="B19" s="196" t="s">
        <v>106</v>
      </c>
      <c r="C19" s="81" t="s">
        <v>31</v>
      </c>
      <c r="D19" s="19" t="s">
        <v>56</v>
      </c>
      <c r="E19" s="184" t="s">
        <v>66</v>
      </c>
      <c r="F19" s="78">
        <v>2.5</v>
      </c>
      <c r="G19" s="79">
        <v>569.71</v>
      </c>
      <c r="H19" s="80">
        <f>TRUNC(G19*$H$15+G19,2)</f>
        <v>727.12</v>
      </c>
      <c r="I19" s="80">
        <f>TRUNC(H19*F19,2)</f>
        <v>1817.8</v>
      </c>
      <c r="J19" s="117">
        <v>0</v>
      </c>
      <c r="K19" s="118" t="e">
        <f>(J19*#REF!)</f>
        <v>#REF!</v>
      </c>
      <c r="L19" s="96"/>
      <c r="N19" s="320"/>
      <c r="O19" s="320"/>
      <c r="P19" s="320"/>
      <c r="Q19" s="98"/>
    </row>
    <row r="20" spans="2:17" s="97" customFormat="1" ht="34.5" customHeight="1">
      <c r="B20" s="196" t="s">
        <v>342</v>
      </c>
      <c r="C20" s="81" t="s">
        <v>67</v>
      </c>
      <c r="D20" s="19" t="s">
        <v>56</v>
      </c>
      <c r="E20" s="185">
        <v>93584</v>
      </c>
      <c r="F20" s="78">
        <v>6</v>
      </c>
      <c r="G20" s="79">
        <v>454.26</v>
      </c>
      <c r="H20" s="80">
        <f>TRUNC(G20*$H$15+G20,2)</f>
        <v>579.77</v>
      </c>
      <c r="I20" s="80">
        <f>TRUNC(H20*F20,2)</f>
        <v>3478.62</v>
      </c>
      <c r="J20" s="117">
        <v>1</v>
      </c>
      <c r="K20" s="118" t="e">
        <f>(J20*#REF!)</f>
        <v>#REF!</v>
      </c>
      <c r="L20" s="96"/>
      <c r="N20" s="99"/>
    </row>
    <row r="21" spans="2:17" s="2" customFormat="1" ht="15.75" customHeight="1">
      <c r="B21" s="325" t="s">
        <v>6</v>
      </c>
      <c r="C21" s="326"/>
      <c r="D21" s="326"/>
      <c r="E21" s="326"/>
      <c r="F21" s="326"/>
      <c r="G21" s="323">
        <f>(100%)</f>
        <v>1</v>
      </c>
      <c r="H21" s="324"/>
      <c r="I21" s="197">
        <f>SUM(I19:I20)</f>
        <v>5296.42</v>
      </c>
      <c r="J21" s="115" t="e">
        <f>(K21/#REF!)</f>
        <v>#REF!</v>
      </c>
      <c r="K21" s="116" t="e">
        <f>SUM(K19:K20)</f>
        <v>#REF!</v>
      </c>
      <c r="L21" s="71"/>
      <c r="N21" s="7"/>
    </row>
    <row r="22" spans="2:17" s="97" customFormat="1" ht="18.75" customHeight="1">
      <c r="B22" s="195">
        <v>2</v>
      </c>
      <c r="C22" s="259" t="s">
        <v>5</v>
      </c>
      <c r="D22" s="365"/>
      <c r="E22" s="365"/>
      <c r="F22" s="365"/>
      <c r="G22" s="365"/>
      <c r="H22" s="365"/>
      <c r="I22" s="366"/>
      <c r="J22" s="96"/>
      <c r="K22" s="96"/>
      <c r="L22" s="100"/>
      <c r="N22" s="99"/>
    </row>
    <row r="23" spans="2:17" s="97" customFormat="1" ht="34.5" customHeight="1">
      <c r="B23" s="196" t="s">
        <v>107</v>
      </c>
      <c r="C23" s="76" t="s">
        <v>136</v>
      </c>
      <c r="D23" s="19" t="s">
        <v>58</v>
      </c>
      <c r="E23" s="249">
        <v>93358</v>
      </c>
      <c r="F23" s="78">
        <v>6.37</v>
      </c>
      <c r="G23" s="79">
        <v>56.61</v>
      </c>
      <c r="H23" s="80">
        <f>TRUNC((G23*$H$15)+G23,2)</f>
        <v>72.25</v>
      </c>
      <c r="I23" s="80">
        <f>TRUNC(H23*F23,2)</f>
        <v>460.23</v>
      </c>
      <c r="J23" s="117">
        <v>0</v>
      </c>
      <c r="K23" s="118" t="e">
        <f>(J23*#REF!)</f>
        <v>#REF!</v>
      </c>
      <c r="L23" s="96"/>
      <c r="N23" s="99"/>
    </row>
    <row r="24" spans="2:17" s="97" customFormat="1" ht="29.25" customHeight="1">
      <c r="B24" s="196" t="s">
        <v>108</v>
      </c>
      <c r="C24" s="76" t="s">
        <v>103</v>
      </c>
      <c r="D24" s="19" t="s">
        <v>58</v>
      </c>
      <c r="E24" s="183">
        <v>96995</v>
      </c>
      <c r="F24" s="78">
        <v>3.42</v>
      </c>
      <c r="G24" s="79">
        <v>34.32</v>
      </c>
      <c r="H24" s="80">
        <f>TRUNC((G24*$H$15)+G24,2)</f>
        <v>43.8</v>
      </c>
      <c r="I24" s="80">
        <f>TRUNC(H24*F24,2)</f>
        <v>149.79</v>
      </c>
      <c r="J24" s="117">
        <v>0</v>
      </c>
      <c r="K24" s="118" t="e">
        <f>(J24*#REF!)</f>
        <v>#REF!</v>
      </c>
      <c r="L24" s="96"/>
      <c r="N24" s="99"/>
    </row>
    <row r="25" spans="2:17" s="97" customFormat="1" ht="30" customHeight="1">
      <c r="B25" s="196" t="s">
        <v>343</v>
      </c>
      <c r="C25" s="76" t="s">
        <v>262</v>
      </c>
      <c r="D25" s="19" t="s">
        <v>56</v>
      </c>
      <c r="E25" s="249">
        <v>94097</v>
      </c>
      <c r="F25" s="78">
        <v>6.37</v>
      </c>
      <c r="G25" s="79">
        <v>4.1500000000000004</v>
      </c>
      <c r="H25" s="80">
        <f>TRUNC((G25*$H$15)+G25,2)</f>
        <v>5.29</v>
      </c>
      <c r="I25" s="80">
        <f>TRUNC(H25*F25,2)</f>
        <v>33.69</v>
      </c>
      <c r="J25" s="117">
        <v>0</v>
      </c>
      <c r="K25" s="118" t="e">
        <f>(J25*#REF!)</f>
        <v>#REF!</v>
      </c>
      <c r="L25" s="96"/>
      <c r="N25" s="99"/>
    </row>
    <row r="26" spans="2:17" s="2" customFormat="1" ht="15.75" customHeight="1">
      <c r="B26" s="325" t="s">
        <v>6</v>
      </c>
      <c r="C26" s="326"/>
      <c r="D26" s="326"/>
      <c r="E26" s="326"/>
      <c r="F26" s="326"/>
      <c r="G26" s="323">
        <f>(100%)</f>
        <v>1</v>
      </c>
      <c r="H26" s="324"/>
      <c r="I26" s="197">
        <f>SUM(I23:I25)</f>
        <v>643.71</v>
      </c>
      <c r="J26" s="115">
        <v>0</v>
      </c>
      <c r="K26" s="116" t="e">
        <f>SUM(K22:K25)</f>
        <v>#REF!</v>
      </c>
      <c r="L26" s="71"/>
      <c r="N26" s="7"/>
    </row>
    <row r="27" spans="2:17" s="97" customFormat="1" ht="16.5" customHeight="1">
      <c r="B27" s="195">
        <v>3</v>
      </c>
      <c r="C27" s="21" t="s">
        <v>39</v>
      </c>
      <c r="D27" s="329"/>
      <c r="E27" s="329"/>
      <c r="F27" s="329"/>
      <c r="G27" s="329"/>
      <c r="H27" s="329"/>
      <c r="I27" s="330"/>
      <c r="J27" s="96"/>
      <c r="K27" s="96"/>
      <c r="L27" s="101"/>
      <c r="N27" s="99"/>
    </row>
    <row r="28" spans="2:17" s="97" customFormat="1" ht="42" customHeight="1">
      <c r="B28" s="196" t="s">
        <v>105</v>
      </c>
      <c r="C28" s="253" t="s">
        <v>64</v>
      </c>
      <c r="D28" s="19" t="s">
        <v>58</v>
      </c>
      <c r="E28" s="249">
        <v>94962</v>
      </c>
      <c r="F28" s="78">
        <v>0.32</v>
      </c>
      <c r="G28" s="79">
        <v>255.88</v>
      </c>
      <c r="H28" s="80">
        <f t="shared" ref="H28:H35" si="0">TRUNC((G28*$H$15)+G28,2)</f>
        <v>326.57</v>
      </c>
      <c r="I28" s="80">
        <f>TRUNC(H28*F28,2)</f>
        <v>104.5</v>
      </c>
      <c r="J28" s="117">
        <v>0</v>
      </c>
      <c r="K28" s="118" t="e">
        <f>(J28*#REF!)</f>
        <v>#REF!</v>
      </c>
      <c r="L28" s="96"/>
      <c r="N28" s="99"/>
    </row>
    <row r="29" spans="2:17" s="97" customFormat="1" ht="30" customHeight="1">
      <c r="B29" s="196" t="s">
        <v>109</v>
      </c>
      <c r="C29" s="76" t="s">
        <v>70</v>
      </c>
      <c r="D29" s="19" t="s">
        <v>58</v>
      </c>
      <c r="E29" s="249">
        <v>94965</v>
      </c>
      <c r="F29" s="78">
        <v>6.18</v>
      </c>
      <c r="G29" s="79">
        <v>323.45</v>
      </c>
      <c r="H29" s="80">
        <f t="shared" si="0"/>
        <v>412.81</v>
      </c>
      <c r="I29" s="80">
        <f t="shared" ref="I29:I35" si="1">TRUNC(H29*F29,2)</f>
        <v>2551.16</v>
      </c>
      <c r="J29" s="117">
        <v>0</v>
      </c>
      <c r="K29" s="118" t="e">
        <f>(J29*#REF!)</f>
        <v>#REF!</v>
      </c>
      <c r="L29" s="96"/>
      <c r="N29" s="99"/>
    </row>
    <row r="30" spans="2:17" s="94" customFormat="1" ht="33.75" customHeight="1">
      <c r="B30" s="196" t="s">
        <v>310</v>
      </c>
      <c r="C30" s="76" t="s">
        <v>245</v>
      </c>
      <c r="D30" s="19" t="s">
        <v>58</v>
      </c>
      <c r="E30" s="249" t="s">
        <v>244</v>
      </c>
      <c r="F30" s="78">
        <v>6.18</v>
      </c>
      <c r="G30" s="79">
        <v>93.76</v>
      </c>
      <c r="H30" s="80">
        <f t="shared" si="0"/>
        <v>119.66</v>
      </c>
      <c r="I30" s="80">
        <f>TRUNC(H30*F30,2)</f>
        <v>739.49</v>
      </c>
      <c r="J30" s="117">
        <v>0</v>
      </c>
      <c r="K30" s="118" t="e">
        <f>(J30*#REF!)</f>
        <v>#REF!</v>
      </c>
      <c r="L30" s="96"/>
      <c r="N30" s="102"/>
    </row>
    <row r="31" spans="2:17" s="94" customFormat="1" ht="54.75" customHeight="1">
      <c r="B31" s="196" t="s">
        <v>344</v>
      </c>
      <c r="C31" s="76" t="s">
        <v>63</v>
      </c>
      <c r="D31" s="19" t="s">
        <v>56</v>
      </c>
      <c r="E31" s="249">
        <v>92422</v>
      </c>
      <c r="F31" s="78">
        <v>57.31</v>
      </c>
      <c r="G31" s="79">
        <v>47.37</v>
      </c>
      <c r="H31" s="80">
        <f t="shared" si="0"/>
        <v>60.45</v>
      </c>
      <c r="I31" s="80">
        <f t="shared" si="1"/>
        <v>3464.38</v>
      </c>
      <c r="J31" s="117">
        <v>0</v>
      </c>
      <c r="K31" s="118" t="e">
        <f>(J31*#REF!)</f>
        <v>#REF!</v>
      </c>
      <c r="L31" s="96"/>
      <c r="N31" s="102"/>
    </row>
    <row r="32" spans="2:17" s="94" customFormat="1" ht="36.75" customHeight="1">
      <c r="B32" s="196" t="s">
        <v>345</v>
      </c>
      <c r="C32" s="76" t="s">
        <v>76</v>
      </c>
      <c r="D32" s="19" t="s">
        <v>71</v>
      </c>
      <c r="E32" s="249">
        <v>96543</v>
      </c>
      <c r="F32" s="78">
        <v>57</v>
      </c>
      <c r="G32" s="79">
        <v>11.01</v>
      </c>
      <c r="H32" s="80">
        <f t="shared" si="0"/>
        <v>14.05</v>
      </c>
      <c r="I32" s="80">
        <f t="shared" si="1"/>
        <v>800.85</v>
      </c>
      <c r="J32" s="117">
        <v>0</v>
      </c>
      <c r="K32" s="118" t="e">
        <f>(J32*#REF!)</f>
        <v>#REF!</v>
      </c>
      <c r="L32" s="96"/>
      <c r="N32" s="102"/>
    </row>
    <row r="33" spans="2:14" s="94" customFormat="1" ht="35.25" customHeight="1">
      <c r="B33" s="196" t="s">
        <v>346</v>
      </c>
      <c r="C33" s="76" t="s">
        <v>243</v>
      </c>
      <c r="D33" s="19" t="s">
        <v>71</v>
      </c>
      <c r="E33" s="249">
        <v>96544</v>
      </c>
      <c r="F33" s="78">
        <v>41</v>
      </c>
      <c r="G33" s="79">
        <v>9.56</v>
      </c>
      <c r="H33" s="80">
        <f t="shared" si="0"/>
        <v>12.2</v>
      </c>
      <c r="I33" s="80">
        <f t="shared" ref="I33" si="2">TRUNC(H33*F33,2)</f>
        <v>500.2</v>
      </c>
      <c r="J33" s="117">
        <v>0</v>
      </c>
      <c r="K33" s="118" t="e">
        <f>(J33*#REF!)</f>
        <v>#REF!</v>
      </c>
      <c r="L33" s="96"/>
      <c r="N33" s="102"/>
    </row>
    <row r="34" spans="2:14" s="94" customFormat="1" ht="48" customHeight="1">
      <c r="B34" s="196" t="s">
        <v>347</v>
      </c>
      <c r="C34" s="76" t="s">
        <v>73</v>
      </c>
      <c r="D34" s="19" t="s">
        <v>71</v>
      </c>
      <c r="E34" s="249">
        <v>92777</v>
      </c>
      <c r="F34" s="78">
        <v>65</v>
      </c>
      <c r="G34" s="79">
        <v>9.17</v>
      </c>
      <c r="H34" s="80">
        <f t="shared" si="0"/>
        <v>11.7</v>
      </c>
      <c r="I34" s="80">
        <f t="shared" si="1"/>
        <v>760.5</v>
      </c>
      <c r="J34" s="117">
        <v>0</v>
      </c>
      <c r="K34" s="118" t="e">
        <f>(J34*#REF!)</f>
        <v>#REF!</v>
      </c>
      <c r="L34" s="96"/>
      <c r="N34" s="102"/>
    </row>
    <row r="35" spans="2:14" s="94" customFormat="1" ht="44.25" customHeight="1">
      <c r="B35" s="196" t="s">
        <v>348</v>
      </c>
      <c r="C35" s="76" t="s">
        <v>75</v>
      </c>
      <c r="D35" s="19" t="s">
        <v>71</v>
      </c>
      <c r="E35" s="249">
        <v>96546</v>
      </c>
      <c r="F35" s="78">
        <v>90</v>
      </c>
      <c r="G35" s="79">
        <v>7.48</v>
      </c>
      <c r="H35" s="80">
        <f t="shared" si="0"/>
        <v>9.5399999999999991</v>
      </c>
      <c r="I35" s="80">
        <f t="shared" si="1"/>
        <v>858.6</v>
      </c>
      <c r="J35" s="117">
        <v>0</v>
      </c>
      <c r="K35" s="118" t="e">
        <f>(J35*#REF!)</f>
        <v>#REF!</v>
      </c>
      <c r="L35" s="96"/>
      <c r="N35" s="102"/>
    </row>
    <row r="36" spans="2:14" s="1" customFormat="1" ht="18.75" customHeight="1">
      <c r="B36" s="325" t="s">
        <v>6</v>
      </c>
      <c r="C36" s="326"/>
      <c r="D36" s="326"/>
      <c r="E36" s="326"/>
      <c r="F36" s="326"/>
      <c r="G36" s="323">
        <f>(100%)</f>
        <v>1</v>
      </c>
      <c r="H36" s="324"/>
      <c r="I36" s="197">
        <f>SUM(I28:I35)</f>
        <v>9779.68</v>
      </c>
      <c r="J36" s="115" t="e">
        <f>(K36/#REF!)</f>
        <v>#REF!</v>
      </c>
      <c r="K36" s="116" t="e">
        <f>SUM(K29:K35)</f>
        <v>#REF!</v>
      </c>
      <c r="L36" s="71"/>
      <c r="N36" s="6"/>
    </row>
    <row r="37" spans="2:14" s="97" customFormat="1" ht="17.25" customHeight="1">
      <c r="B37" s="195">
        <v>4</v>
      </c>
      <c r="C37" s="21" t="s">
        <v>38</v>
      </c>
      <c r="D37" s="329"/>
      <c r="E37" s="329"/>
      <c r="F37" s="329"/>
      <c r="G37" s="329"/>
      <c r="H37" s="329"/>
      <c r="I37" s="330"/>
      <c r="J37" s="96"/>
      <c r="K37" s="96"/>
      <c r="L37" s="101"/>
      <c r="N37" s="99"/>
    </row>
    <row r="38" spans="2:14" s="94" customFormat="1" ht="33.75" customHeight="1">
      <c r="B38" s="196" t="s">
        <v>110</v>
      </c>
      <c r="C38" s="76" t="s">
        <v>65</v>
      </c>
      <c r="D38" s="19" t="s">
        <v>58</v>
      </c>
      <c r="E38" s="249">
        <v>94965</v>
      </c>
      <c r="F38" s="78">
        <v>2.91</v>
      </c>
      <c r="G38" s="79">
        <v>323.45</v>
      </c>
      <c r="H38" s="80">
        <f t="shared" ref="H38:H43" si="3">TRUNC((G38*$H$15)+G38,2)</f>
        <v>412.81</v>
      </c>
      <c r="I38" s="80">
        <f>TRUNC(H38*F38,2)</f>
        <v>1201.27</v>
      </c>
      <c r="J38" s="117">
        <v>0</v>
      </c>
      <c r="K38" s="118" t="e">
        <f>(J38*#REF!)</f>
        <v>#REF!</v>
      </c>
      <c r="L38" s="96"/>
      <c r="N38" s="102"/>
    </row>
    <row r="39" spans="2:14" s="94" customFormat="1" ht="33.75" customHeight="1">
      <c r="B39" s="196" t="s">
        <v>111</v>
      </c>
      <c r="C39" s="76" t="s">
        <v>245</v>
      </c>
      <c r="D39" s="19" t="s">
        <v>58</v>
      </c>
      <c r="E39" s="249" t="s">
        <v>244</v>
      </c>
      <c r="F39" s="78">
        <v>2.91</v>
      </c>
      <c r="G39" s="79">
        <v>93.76</v>
      </c>
      <c r="H39" s="80">
        <f t="shared" si="3"/>
        <v>119.66</v>
      </c>
      <c r="I39" s="80">
        <f>TRUNC(H39*F39,2)</f>
        <v>348.21</v>
      </c>
      <c r="J39" s="117">
        <v>0</v>
      </c>
      <c r="K39" s="118" t="e">
        <f>(J39*#REF!)</f>
        <v>#REF!</v>
      </c>
      <c r="L39" s="96"/>
      <c r="N39" s="102"/>
    </row>
    <row r="40" spans="2:14" s="94" customFormat="1" ht="54.75" customHeight="1">
      <c r="B40" s="196" t="s">
        <v>112</v>
      </c>
      <c r="C40" s="76" t="s">
        <v>63</v>
      </c>
      <c r="D40" s="19" t="s">
        <v>56</v>
      </c>
      <c r="E40" s="249">
        <v>92422</v>
      </c>
      <c r="F40" s="78">
        <v>58.41</v>
      </c>
      <c r="G40" s="79">
        <v>47.37</v>
      </c>
      <c r="H40" s="80">
        <f t="shared" si="3"/>
        <v>60.45</v>
      </c>
      <c r="I40" s="80">
        <f t="shared" ref="I40:I43" si="4">TRUNC(H40*F40,2)</f>
        <v>3530.88</v>
      </c>
      <c r="J40" s="117">
        <v>0</v>
      </c>
      <c r="K40" s="118" t="e">
        <f>(J40*#REF!)</f>
        <v>#REF!</v>
      </c>
      <c r="L40" s="96"/>
      <c r="N40" s="102"/>
    </row>
    <row r="41" spans="2:14" s="94" customFormat="1" ht="47.25" customHeight="1">
      <c r="B41" s="196" t="s">
        <v>311</v>
      </c>
      <c r="C41" s="76" t="s">
        <v>72</v>
      </c>
      <c r="D41" s="19" t="s">
        <v>71</v>
      </c>
      <c r="E41" s="249">
        <v>92775</v>
      </c>
      <c r="F41" s="78">
        <v>80</v>
      </c>
      <c r="G41" s="79">
        <v>11.07</v>
      </c>
      <c r="H41" s="80">
        <f t="shared" si="3"/>
        <v>14.12</v>
      </c>
      <c r="I41" s="80">
        <f t="shared" si="4"/>
        <v>1129.5999999999999</v>
      </c>
      <c r="J41" s="117">
        <v>0</v>
      </c>
      <c r="K41" s="118" t="e">
        <f>(J41*#REF!)</f>
        <v>#REF!</v>
      </c>
      <c r="L41" s="96"/>
      <c r="N41" s="102"/>
    </row>
    <row r="42" spans="2:14" s="94" customFormat="1" ht="48" customHeight="1">
      <c r="B42" s="196" t="s">
        <v>312</v>
      </c>
      <c r="C42" s="76" t="s">
        <v>73</v>
      </c>
      <c r="D42" s="19" t="s">
        <v>71</v>
      </c>
      <c r="E42" s="249">
        <v>92777</v>
      </c>
      <c r="F42" s="78">
        <v>76</v>
      </c>
      <c r="G42" s="79">
        <v>9.17</v>
      </c>
      <c r="H42" s="80">
        <f t="shared" si="3"/>
        <v>11.7</v>
      </c>
      <c r="I42" s="80">
        <f t="shared" si="4"/>
        <v>889.2</v>
      </c>
      <c r="J42" s="117">
        <v>0</v>
      </c>
      <c r="K42" s="118" t="e">
        <f>(J42*#REF!)</f>
        <v>#REF!</v>
      </c>
      <c r="L42" s="96"/>
      <c r="N42" s="102"/>
    </row>
    <row r="43" spans="2:14" s="94" customFormat="1" ht="55.5" customHeight="1">
      <c r="B43" s="196" t="s">
        <v>313</v>
      </c>
      <c r="C43" s="76" t="s">
        <v>74</v>
      </c>
      <c r="D43" s="19" t="s">
        <v>71</v>
      </c>
      <c r="E43" s="249">
        <v>92778</v>
      </c>
      <c r="F43" s="78">
        <v>144</v>
      </c>
      <c r="G43" s="79">
        <v>7.43</v>
      </c>
      <c r="H43" s="80">
        <f t="shared" si="3"/>
        <v>9.48</v>
      </c>
      <c r="I43" s="80">
        <f t="shared" si="4"/>
        <v>1365.12</v>
      </c>
      <c r="J43" s="117">
        <v>0</v>
      </c>
      <c r="K43" s="118" t="e">
        <f>(J43*#REF!)</f>
        <v>#REF!</v>
      </c>
      <c r="L43" s="96"/>
      <c r="N43" s="102"/>
    </row>
    <row r="44" spans="2:14" s="1" customFormat="1" ht="12.75" customHeight="1">
      <c r="B44" s="325" t="s">
        <v>6</v>
      </c>
      <c r="C44" s="326"/>
      <c r="D44" s="326"/>
      <c r="E44" s="326"/>
      <c r="F44" s="326"/>
      <c r="G44" s="323">
        <f>(100%)</f>
        <v>1</v>
      </c>
      <c r="H44" s="324"/>
      <c r="I44" s="197">
        <f>SUM(I38:I43)</f>
        <v>8464.2800000000007</v>
      </c>
      <c r="J44" s="115" t="e">
        <f>(K44/#REF!)</f>
        <v>#REF!</v>
      </c>
      <c r="K44" s="116" t="e">
        <f>SUM(K38:K43)</f>
        <v>#REF!</v>
      </c>
      <c r="L44" s="71"/>
      <c r="N44" s="6"/>
    </row>
    <row r="45" spans="2:14" s="1" customFormat="1">
      <c r="B45" s="195">
        <v>5</v>
      </c>
      <c r="C45" s="260" t="s">
        <v>40</v>
      </c>
      <c r="D45" s="327"/>
      <c r="E45" s="327"/>
      <c r="F45" s="327"/>
      <c r="G45" s="327"/>
      <c r="H45" s="327"/>
      <c r="I45" s="328"/>
      <c r="J45" s="77"/>
      <c r="K45" s="77"/>
      <c r="L45" s="72"/>
      <c r="N45" s="6"/>
    </row>
    <row r="46" spans="2:14" s="97" customFormat="1" ht="45" customHeight="1">
      <c r="B46" s="196" t="s">
        <v>113</v>
      </c>
      <c r="C46" s="253" t="s">
        <v>104</v>
      </c>
      <c r="D46" s="19" t="s">
        <v>56</v>
      </c>
      <c r="E46" s="261" t="s">
        <v>60</v>
      </c>
      <c r="F46" s="17">
        <v>39.85</v>
      </c>
      <c r="G46" s="79">
        <v>9.5399999999999991</v>
      </c>
      <c r="H46" s="80">
        <f>TRUNC((G46*$H$15)+G46,2)</f>
        <v>12.17</v>
      </c>
      <c r="I46" s="80">
        <f>TRUNC(H46*F46,2)</f>
        <v>484.97</v>
      </c>
      <c r="J46" s="117">
        <v>0</v>
      </c>
      <c r="K46" s="118" t="e">
        <f>(J46*#REF!)</f>
        <v>#REF!</v>
      </c>
      <c r="L46" s="96"/>
      <c r="N46" s="99"/>
    </row>
    <row r="47" spans="2:14" s="1" customFormat="1" ht="12.75" customHeight="1">
      <c r="B47" s="325" t="s">
        <v>6</v>
      </c>
      <c r="C47" s="326"/>
      <c r="D47" s="326"/>
      <c r="E47" s="326"/>
      <c r="F47" s="326"/>
      <c r="G47" s="323">
        <f>(100%)</f>
        <v>1</v>
      </c>
      <c r="H47" s="324"/>
      <c r="I47" s="197">
        <f>SUM(I46:I46)</f>
        <v>484.97</v>
      </c>
      <c r="J47" s="115">
        <v>0</v>
      </c>
      <c r="K47" s="116" t="e">
        <f>SUM(K46)</f>
        <v>#REF!</v>
      </c>
      <c r="L47" s="71"/>
      <c r="N47" s="6"/>
    </row>
    <row r="48" spans="2:14" s="104" customFormat="1" ht="19.5" customHeight="1">
      <c r="B48" s="195">
        <v>6</v>
      </c>
      <c r="C48" s="21" t="s">
        <v>41</v>
      </c>
      <c r="D48" s="321"/>
      <c r="E48" s="321"/>
      <c r="F48" s="321"/>
      <c r="G48" s="321"/>
      <c r="H48" s="321"/>
      <c r="I48" s="322"/>
      <c r="J48" s="96"/>
      <c r="K48" s="96"/>
      <c r="L48" s="103"/>
      <c r="N48" s="105"/>
    </row>
    <row r="49" spans="1:14" s="104" customFormat="1" ht="57.75" customHeight="1">
      <c r="B49" s="196" t="s">
        <v>114</v>
      </c>
      <c r="C49" s="253" t="s">
        <v>69</v>
      </c>
      <c r="D49" s="19" t="s">
        <v>56</v>
      </c>
      <c r="E49" s="249">
        <v>87521</v>
      </c>
      <c r="F49" s="78">
        <v>154.13</v>
      </c>
      <c r="G49" s="79">
        <v>55.92</v>
      </c>
      <c r="H49" s="80">
        <f>TRUNC(G49*$H$15+G49,2)</f>
        <v>71.37</v>
      </c>
      <c r="I49" s="80">
        <f>TRUNC(H49*F49,2)</f>
        <v>11000.25</v>
      </c>
      <c r="J49" s="117">
        <v>0</v>
      </c>
      <c r="K49" s="118" t="e">
        <f>(J49*#REF!)</f>
        <v>#REF!</v>
      </c>
      <c r="L49" s="96"/>
      <c r="N49" s="105"/>
    </row>
    <row r="50" spans="1:14" s="104" customFormat="1" ht="76.5" customHeight="1">
      <c r="B50" s="196" t="s">
        <v>349</v>
      </c>
      <c r="C50" s="253" t="s">
        <v>281</v>
      </c>
      <c r="D50" s="19" t="s">
        <v>56</v>
      </c>
      <c r="E50" s="249">
        <v>87525</v>
      </c>
      <c r="F50" s="78">
        <v>9</v>
      </c>
      <c r="G50" s="79">
        <v>94.92</v>
      </c>
      <c r="H50" s="80">
        <f>TRUNC(G50*$H$15+G50,2)</f>
        <v>121.14</v>
      </c>
      <c r="I50" s="80">
        <f>TRUNC(H50*F50,2)</f>
        <v>1090.26</v>
      </c>
      <c r="J50" s="117">
        <v>0</v>
      </c>
      <c r="K50" s="118" t="e">
        <f>(J50*#REF!)</f>
        <v>#REF!</v>
      </c>
      <c r="L50" s="96"/>
      <c r="N50" s="105"/>
    </row>
    <row r="51" spans="1:14" s="104" customFormat="1" ht="31.5" customHeight="1">
      <c r="B51" s="196" t="s">
        <v>350</v>
      </c>
      <c r="C51" s="76" t="s">
        <v>201</v>
      </c>
      <c r="D51" s="19" t="s">
        <v>55</v>
      </c>
      <c r="E51" s="249">
        <v>93186</v>
      </c>
      <c r="F51" s="78">
        <v>11.6</v>
      </c>
      <c r="G51" s="79">
        <v>33.450000000000003</v>
      </c>
      <c r="H51" s="80">
        <f>TRUNC(G51*$H$15+G51,2)</f>
        <v>42.69</v>
      </c>
      <c r="I51" s="80">
        <f>TRUNC(H51*F51,2)</f>
        <v>495.2</v>
      </c>
      <c r="J51" s="117">
        <v>0</v>
      </c>
      <c r="K51" s="118" t="e">
        <f>(J51*#REF!)</f>
        <v>#REF!</v>
      </c>
      <c r="L51" s="96"/>
      <c r="N51" s="105"/>
    </row>
    <row r="52" spans="1:14" s="104" customFormat="1" ht="39.75" customHeight="1">
      <c r="B52" s="196" t="s">
        <v>351</v>
      </c>
      <c r="C52" s="76" t="s">
        <v>249</v>
      </c>
      <c r="D52" s="19" t="s">
        <v>55</v>
      </c>
      <c r="E52" s="249">
        <v>93188</v>
      </c>
      <c r="F52" s="78">
        <v>4.8</v>
      </c>
      <c r="G52" s="79">
        <v>32.76</v>
      </c>
      <c r="H52" s="80">
        <f>TRUNC(G52*$H$15+G52,2)</f>
        <v>41.81</v>
      </c>
      <c r="I52" s="80">
        <f>TRUNC(H52*F52,2)</f>
        <v>200.68</v>
      </c>
      <c r="J52" s="117">
        <v>0</v>
      </c>
      <c r="K52" s="118" t="e">
        <f>(J52*#REF!)</f>
        <v>#REF!</v>
      </c>
      <c r="L52" s="96"/>
      <c r="N52" s="105"/>
    </row>
    <row r="53" spans="1:14" s="1" customFormat="1" ht="15" customHeight="1">
      <c r="B53" s="325" t="s">
        <v>6</v>
      </c>
      <c r="C53" s="326"/>
      <c r="D53" s="326"/>
      <c r="E53" s="326"/>
      <c r="F53" s="326"/>
      <c r="G53" s="323">
        <f>(100%)</f>
        <v>1</v>
      </c>
      <c r="H53" s="324"/>
      <c r="I53" s="197">
        <f>SUM(I49:I52)</f>
        <v>12786.390000000001</v>
      </c>
      <c r="J53" s="115" t="e">
        <f>(K53/#REF!)</f>
        <v>#REF!</v>
      </c>
      <c r="K53" s="116" t="e">
        <f>SUM(K50:K51)</f>
        <v>#REF!</v>
      </c>
      <c r="L53" s="71"/>
      <c r="N53" s="6"/>
    </row>
    <row r="54" spans="1:14" s="104" customFormat="1" ht="19.5" customHeight="1">
      <c r="B54" s="195">
        <v>7</v>
      </c>
      <c r="C54" s="21" t="s">
        <v>42</v>
      </c>
      <c r="D54" s="321"/>
      <c r="E54" s="321"/>
      <c r="F54" s="321"/>
      <c r="G54" s="321"/>
      <c r="H54" s="321"/>
      <c r="I54" s="322"/>
      <c r="J54" s="96"/>
      <c r="K54" s="96"/>
      <c r="L54" s="103"/>
      <c r="N54" s="105"/>
    </row>
    <row r="55" spans="1:14" s="104" customFormat="1" ht="42.75" customHeight="1">
      <c r="B55" s="196" t="s">
        <v>115</v>
      </c>
      <c r="C55" s="253" t="s">
        <v>61</v>
      </c>
      <c r="D55" s="19" t="s">
        <v>56</v>
      </c>
      <c r="E55" s="249">
        <v>87905</v>
      </c>
      <c r="F55" s="78">
        <v>308.26</v>
      </c>
      <c r="G55" s="79">
        <v>5.87</v>
      </c>
      <c r="H55" s="80">
        <f>TRUNC(G55*$H$15+G55,2)</f>
        <v>7.49</v>
      </c>
      <c r="I55" s="80">
        <f t="shared" ref="I55:I56" si="5">TRUNC(H55*F55,2)</f>
        <v>2308.86</v>
      </c>
      <c r="J55" s="117">
        <v>0</v>
      </c>
      <c r="K55" s="118" t="e">
        <f>(J55*#REF!)</f>
        <v>#REF!</v>
      </c>
      <c r="L55" s="96"/>
      <c r="N55" s="105"/>
    </row>
    <row r="56" spans="1:14" s="104" customFormat="1" ht="63.75">
      <c r="A56" s="230"/>
      <c r="B56" s="196" t="s">
        <v>314</v>
      </c>
      <c r="C56" s="76" t="s">
        <v>264</v>
      </c>
      <c r="D56" s="19" t="s">
        <v>56</v>
      </c>
      <c r="E56" s="249">
        <v>87535</v>
      </c>
      <c r="F56" s="78">
        <v>67.61</v>
      </c>
      <c r="G56" s="79">
        <v>20.46</v>
      </c>
      <c r="H56" s="80">
        <f>TRUNC(G56*$H$15+G56,2)</f>
        <v>26.11</v>
      </c>
      <c r="I56" s="80">
        <f t="shared" si="5"/>
        <v>1765.29</v>
      </c>
      <c r="J56" s="117">
        <v>0</v>
      </c>
      <c r="K56" s="118" t="e">
        <f>(J56*#REF!)</f>
        <v>#REF!</v>
      </c>
      <c r="L56" s="96"/>
      <c r="N56" s="105"/>
    </row>
    <row r="57" spans="1:14" s="104" customFormat="1" ht="51">
      <c r="A57" s="230"/>
      <c r="B57" s="196" t="s">
        <v>315</v>
      </c>
      <c r="C57" s="76" t="s">
        <v>263</v>
      </c>
      <c r="D57" s="19" t="s">
        <v>56</v>
      </c>
      <c r="E57" s="249">
        <v>87529</v>
      </c>
      <c r="F57" s="78">
        <v>240.65</v>
      </c>
      <c r="G57" s="79">
        <v>23.86</v>
      </c>
      <c r="H57" s="80">
        <f>TRUNC(G57*$H$15+G57,2)</f>
        <v>30.45</v>
      </c>
      <c r="I57" s="80">
        <f t="shared" ref="I57" si="6">TRUNC(H57*F57,2)</f>
        <v>7327.79</v>
      </c>
      <c r="J57" s="117">
        <v>0</v>
      </c>
      <c r="K57" s="118" t="e">
        <f>(J57*#REF!)</f>
        <v>#REF!</v>
      </c>
      <c r="L57" s="96"/>
      <c r="N57" s="105"/>
    </row>
    <row r="58" spans="1:14" s="104" customFormat="1" ht="57" customHeight="1">
      <c r="B58" s="196" t="s">
        <v>316</v>
      </c>
      <c r="C58" s="76" t="s">
        <v>199</v>
      </c>
      <c r="D58" s="251" t="s">
        <v>59</v>
      </c>
      <c r="E58" s="249">
        <v>87273</v>
      </c>
      <c r="F58" s="78">
        <v>67.61</v>
      </c>
      <c r="G58" s="79">
        <v>51.64</v>
      </c>
      <c r="H58" s="80">
        <f>TRUNC(G58*$H$15+G58,2)</f>
        <v>65.900000000000006</v>
      </c>
      <c r="I58" s="80">
        <f t="shared" ref="I58" si="7">TRUNC(H58*F58,2)</f>
        <v>4455.49</v>
      </c>
      <c r="J58" s="117">
        <v>0</v>
      </c>
      <c r="K58" s="118" t="e">
        <f>(J58*#REF!)</f>
        <v>#REF!</v>
      </c>
      <c r="L58" s="96"/>
      <c r="M58" s="104">
        <v>95.93</v>
      </c>
      <c r="N58" s="105"/>
    </row>
    <row r="59" spans="1:14" s="1" customFormat="1" ht="12.75" customHeight="1">
      <c r="B59" s="325" t="s">
        <v>6</v>
      </c>
      <c r="C59" s="326"/>
      <c r="D59" s="326"/>
      <c r="E59" s="326"/>
      <c r="F59" s="326"/>
      <c r="G59" s="323">
        <f>(100%)</f>
        <v>1</v>
      </c>
      <c r="H59" s="324"/>
      <c r="I59" s="197">
        <f>SUM(I55:I58)</f>
        <v>15857.43</v>
      </c>
      <c r="J59" s="119" t="e">
        <f>(K59/#REF!)</f>
        <v>#REF!</v>
      </c>
      <c r="K59" s="116" t="e">
        <f>SUM(K55:K58)</f>
        <v>#REF!</v>
      </c>
      <c r="L59" s="71"/>
      <c r="N59" s="6"/>
    </row>
    <row r="60" spans="1:14" s="104" customFormat="1">
      <c r="B60" s="195">
        <v>8</v>
      </c>
      <c r="C60" s="254" t="s">
        <v>43</v>
      </c>
      <c r="D60" s="321"/>
      <c r="E60" s="321"/>
      <c r="F60" s="321"/>
      <c r="G60" s="321"/>
      <c r="H60" s="321"/>
      <c r="I60" s="322"/>
      <c r="J60" s="96"/>
      <c r="K60" s="96"/>
      <c r="L60" s="103"/>
      <c r="N60" s="105"/>
    </row>
    <row r="61" spans="1:14" s="262" customFormat="1" ht="52.5" customHeight="1">
      <c r="B61" s="196" t="s">
        <v>116</v>
      </c>
      <c r="C61" s="76" t="s">
        <v>285</v>
      </c>
      <c r="D61" s="251" t="s">
        <v>77</v>
      </c>
      <c r="E61" s="249">
        <v>92261</v>
      </c>
      <c r="F61" s="78">
        <v>6</v>
      </c>
      <c r="G61" s="79">
        <v>307.17</v>
      </c>
      <c r="H61" s="80">
        <f>TRUNC(G61*$H$15+G61,2)</f>
        <v>392.04</v>
      </c>
      <c r="I61" s="80">
        <f t="shared" ref="I61" si="8">TRUNC(H61*F61,2)</f>
        <v>2352.2399999999998</v>
      </c>
      <c r="J61" s="263">
        <v>0</v>
      </c>
      <c r="K61" s="264" t="e">
        <f>(J61*#REF!)</f>
        <v>#REF!</v>
      </c>
      <c r="L61" s="265"/>
      <c r="N61" s="266"/>
    </row>
    <row r="62" spans="1:14" s="270" customFormat="1" ht="70.5" customHeight="1">
      <c r="B62" s="196" t="s">
        <v>117</v>
      </c>
      <c r="C62" s="76" t="s">
        <v>289</v>
      </c>
      <c r="D62" s="251" t="s">
        <v>56</v>
      </c>
      <c r="E62" s="258">
        <v>92543</v>
      </c>
      <c r="F62" s="78">
        <v>105.34</v>
      </c>
      <c r="G62" s="79">
        <v>9.68</v>
      </c>
      <c r="H62" s="80">
        <f>TRUNC(G62*$H$15+G62,2)</f>
        <v>12.35</v>
      </c>
      <c r="I62" s="80">
        <f t="shared" ref="I62" si="9">TRUNC(H62*F62,2)</f>
        <v>1300.94</v>
      </c>
      <c r="J62" s="267">
        <v>0</v>
      </c>
      <c r="K62" s="268" t="e">
        <f>(J62*#REF!)</f>
        <v>#REF!</v>
      </c>
      <c r="L62" s="269"/>
      <c r="N62" s="271"/>
    </row>
    <row r="63" spans="1:14" s="127" customFormat="1" ht="25.5">
      <c r="B63" s="196" t="s">
        <v>118</v>
      </c>
      <c r="C63" s="76" t="s">
        <v>271</v>
      </c>
      <c r="D63" s="251" t="s">
        <v>55</v>
      </c>
      <c r="E63" s="258">
        <v>94223</v>
      </c>
      <c r="F63" s="78">
        <v>11.45</v>
      </c>
      <c r="G63" s="79">
        <v>41.5</v>
      </c>
      <c r="H63" s="80">
        <f>TRUNC(G63*$H$15+G63,2)</f>
        <v>52.96</v>
      </c>
      <c r="I63" s="80">
        <f t="shared" ref="I63" si="10">TRUNC(H63*F63,2)</f>
        <v>606.39</v>
      </c>
      <c r="J63" s="124">
        <v>0</v>
      </c>
      <c r="K63" s="125" t="e">
        <f>(J63*#REF!)</f>
        <v>#REF!</v>
      </c>
      <c r="L63" s="126"/>
      <c r="N63" s="128"/>
    </row>
    <row r="64" spans="1:14" s="127" customFormat="1" ht="51">
      <c r="B64" s="196" t="s">
        <v>119</v>
      </c>
      <c r="C64" s="76" t="s">
        <v>265</v>
      </c>
      <c r="D64" s="251" t="s">
        <v>56</v>
      </c>
      <c r="E64" s="258">
        <v>94207</v>
      </c>
      <c r="F64" s="78">
        <v>105.34</v>
      </c>
      <c r="G64" s="79">
        <v>31.94</v>
      </c>
      <c r="H64" s="80">
        <f>TRUNC(G64*$H$15+G64,2)</f>
        <v>40.76</v>
      </c>
      <c r="I64" s="80">
        <f t="shared" ref="I64" si="11">TRUNC(H64*F64,2)</f>
        <v>4293.6499999999996</v>
      </c>
      <c r="J64" s="124">
        <v>0</v>
      </c>
      <c r="K64" s="125" t="e">
        <f>(J64*#REF!)</f>
        <v>#REF!</v>
      </c>
      <c r="L64" s="126"/>
      <c r="N64" s="128"/>
    </row>
    <row r="65" spans="2:14" s="1" customFormat="1" ht="12.75" customHeight="1">
      <c r="B65" s="325" t="s">
        <v>6</v>
      </c>
      <c r="C65" s="326"/>
      <c r="D65" s="326"/>
      <c r="E65" s="326"/>
      <c r="F65" s="326"/>
      <c r="G65" s="323">
        <f>(100%)</f>
        <v>1</v>
      </c>
      <c r="H65" s="324"/>
      <c r="I65" s="197">
        <f>SUM(I61:I64)</f>
        <v>8553.2199999999993</v>
      </c>
      <c r="J65" s="119" t="e">
        <f>(K65/#REF!)</f>
        <v>#REF!</v>
      </c>
      <c r="K65" s="116" t="e">
        <f>SUM(#REF!)</f>
        <v>#REF!</v>
      </c>
      <c r="L65" s="71"/>
      <c r="N65" s="6"/>
    </row>
    <row r="66" spans="2:14" s="104" customFormat="1">
      <c r="B66" s="195">
        <v>9</v>
      </c>
      <c r="C66" s="254" t="s">
        <v>266</v>
      </c>
      <c r="D66" s="321"/>
      <c r="E66" s="321"/>
      <c r="F66" s="321"/>
      <c r="G66" s="321"/>
      <c r="H66" s="321"/>
      <c r="I66" s="322"/>
      <c r="J66" s="96"/>
      <c r="K66" s="96"/>
      <c r="L66" s="103"/>
      <c r="N66" s="105"/>
    </row>
    <row r="67" spans="2:14" s="127" customFormat="1" ht="48.75" customHeight="1">
      <c r="B67" s="196" t="s">
        <v>120</v>
      </c>
      <c r="C67" s="76" t="s">
        <v>267</v>
      </c>
      <c r="D67" s="251" t="s">
        <v>56</v>
      </c>
      <c r="E67" s="249">
        <v>96111</v>
      </c>
      <c r="F67" s="78">
        <v>65.47</v>
      </c>
      <c r="G67" s="79">
        <v>37.869999999999997</v>
      </c>
      <c r="H67" s="80">
        <f>TRUNC(G67*$H$15+G67,2)</f>
        <v>48.33</v>
      </c>
      <c r="I67" s="80">
        <f t="shared" ref="I67" si="12">TRUNC(H67*F67,2)</f>
        <v>3164.16</v>
      </c>
      <c r="J67" s="124">
        <v>0</v>
      </c>
      <c r="K67" s="125" t="e">
        <f>(J67*#REF!)</f>
        <v>#REF!</v>
      </c>
      <c r="L67" s="126"/>
      <c r="N67" s="128"/>
    </row>
    <row r="68" spans="2:14" s="127" customFormat="1" ht="33" customHeight="1">
      <c r="B68" s="196" t="s">
        <v>121</v>
      </c>
      <c r="C68" s="76" t="s">
        <v>268</v>
      </c>
      <c r="D68" s="251" t="s">
        <v>55</v>
      </c>
      <c r="E68" s="249">
        <v>96121</v>
      </c>
      <c r="F68" s="78">
        <v>81.599999999999994</v>
      </c>
      <c r="G68" s="79">
        <v>6.74</v>
      </c>
      <c r="H68" s="80">
        <f>TRUNC(G68*$H$15+G68,2)</f>
        <v>8.6</v>
      </c>
      <c r="I68" s="80">
        <f t="shared" ref="I68" si="13">TRUNC(H68*F68,2)</f>
        <v>701.76</v>
      </c>
      <c r="J68" s="124">
        <v>0</v>
      </c>
      <c r="K68" s="125" t="e">
        <f>(J68*#REF!)</f>
        <v>#REF!</v>
      </c>
      <c r="L68" s="126"/>
      <c r="N68" s="128"/>
    </row>
    <row r="69" spans="2:14" s="1" customFormat="1" ht="12.75" customHeight="1">
      <c r="B69" s="325" t="s">
        <v>6</v>
      </c>
      <c r="C69" s="326"/>
      <c r="D69" s="326"/>
      <c r="E69" s="326"/>
      <c r="F69" s="326"/>
      <c r="G69" s="323">
        <f>(100%)</f>
        <v>1</v>
      </c>
      <c r="H69" s="324"/>
      <c r="I69" s="197">
        <f>SUM(I67:I68)</f>
        <v>3865.92</v>
      </c>
      <c r="J69" s="119" t="e">
        <f>(K69/#REF!)</f>
        <v>#REF!</v>
      </c>
      <c r="K69" s="116" t="e">
        <f>SUM(#REF!)</f>
        <v>#REF!</v>
      </c>
      <c r="L69" s="71"/>
      <c r="N69" s="6"/>
    </row>
    <row r="70" spans="2:14">
      <c r="B70" s="195">
        <v>10</v>
      </c>
      <c r="C70" s="254" t="s">
        <v>44</v>
      </c>
      <c r="D70" s="321"/>
      <c r="E70" s="321"/>
      <c r="F70" s="321"/>
      <c r="G70" s="321"/>
      <c r="H70" s="321"/>
      <c r="I70" s="322"/>
      <c r="J70" s="77"/>
      <c r="K70" s="77"/>
      <c r="L70" s="73"/>
    </row>
    <row r="71" spans="2:14" s="104" customFormat="1" ht="42" customHeight="1">
      <c r="B71" s="196" t="s">
        <v>122</v>
      </c>
      <c r="C71" s="76" t="s">
        <v>241</v>
      </c>
      <c r="D71" s="251" t="s">
        <v>59</v>
      </c>
      <c r="E71" s="249">
        <v>94559</v>
      </c>
      <c r="F71" s="78">
        <v>0.48</v>
      </c>
      <c r="G71" s="79">
        <v>413.6</v>
      </c>
      <c r="H71" s="80">
        <f>TRUNC(G71*$H$15+G71,2)</f>
        <v>527.87</v>
      </c>
      <c r="I71" s="80">
        <f t="shared" ref="I71:I73" si="14">TRUNC(H71*F71,2)</f>
        <v>253.37</v>
      </c>
      <c r="J71" s="117">
        <v>0</v>
      </c>
      <c r="K71" s="118" t="e">
        <f>(J71*#REF!)</f>
        <v>#REF!</v>
      </c>
      <c r="L71" s="96"/>
      <c r="N71" s="105"/>
    </row>
    <row r="72" spans="2:14" s="104" customFormat="1" ht="42" customHeight="1">
      <c r="B72" s="196" t="s">
        <v>123</v>
      </c>
      <c r="C72" s="76" t="s">
        <v>240</v>
      </c>
      <c r="D72" s="251" t="s">
        <v>59</v>
      </c>
      <c r="E72" s="249">
        <v>94562</v>
      </c>
      <c r="F72" s="78">
        <v>3.6</v>
      </c>
      <c r="G72" s="79">
        <v>377.28</v>
      </c>
      <c r="H72" s="80">
        <f>TRUNC(G72*$H$15+G72,2)</f>
        <v>481.52</v>
      </c>
      <c r="I72" s="80">
        <f t="shared" si="14"/>
        <v>1733.47</v>
      </c>
      <c r="J72" s="117">
        <v>0</v>
      </c>
      <c r="K72" s="118" t="e">
        <f>(J72*#REF!)</f>
        <v>#REF!</v>
      </c>
      <c r="L72" s="96"/>
      <c r="N72" s="105"/>
    </row>
    <row r="73" spans="2:14" s="104" customFormat="1" ht="33.75" customHeight="1">
      <c r="B73" s="196" t="s">
        <v>352</v>
      </c>
      <c r="C73" s="76" t="s">
        <v>248</v>
      </c>
      <c r="D73" s="251" t="s">
        <v>59</v>
      </c>
      <c r="E73" s="249">
        <v>72117</v>
      </c>
      <c r="F73" s="78">
        <v>0.48</v>
      </c>
      <c r="G73" s="79">
        <v>128.63</v>
      </c>
      <c r="H73" s="80">
        <f>TRUNC(G73*$H$15+G73,2)</f>
        <v>164.17</v>
      </c>
      <c r="I73" s="80">
        <f t="shared" si="14"/>
        <v>78.8</v>
      </c>
      <c r="J73" s="117">
        <v>0</v>
      </c>
      <c r="K73" s="118" t="e">
        <f>(J73*#REF!)</f>
        <v>#REF!</v>
      </c>
      <c r="L73" s="96"/>
      <c r="N73" s="105"/>
    </row>
    <row r="74" spans="2:14" s="104" customFormat="1" ht="33.75" customHeight="1">
      <c r="B74" s="196" t="s">
        <v>353</v>
      </c>
      <c r="C74" s="76" t="s">
        <v>222</v>
      </c>
      <c r="D74" s="251" t="s">
        <v>59</v>
      </c>
      <c r="E74" s="255" t="s">
        <v>221</v>
      </c>
      <c r="F74" s="78">
        <v>0.6</v>
      </c>
      <c r="G74" s="79">
        <v>378.74</v>
      </c>
      <c r="H74" s="80">
        <f>TRUNC(G74*$H$15+G74,2)</f>
        <v>483.38</v>
      </c>
      <c r="I74" s="80">
        <f t="shared" ref="I74" si="15">TRUNC(H74*F74,2)</f>
        <v>290.02</v>
      </c>
      <c r="J74" s="117">
        <v>0</v>
      </c>
      <c r="K74" s="118" t="e">
        <f>(J74*#REF!)</f>
        <v>#REF!</v>
      </c>
      <c r="L74" s="96"/>
      <c r="N74" s="105"/>
    </row>
    <row r="75" spans="2:14" s="104" customFormat="1" ht="41.25" customHeight="1">
      <c r="B75" s="196" t="s">
        <v>354</v>
      </c>
      <c r="C75" s="76" t="s">
        <v>239</v>
      </c>
      <c r="D75" s="251" t="s">
        <v>56</v>
      </c>
      <c r="E75" s="183" t="s">
        <v>238</v>
      </c>
      <c r="F75" s="78">
        <v>7.98</v>
      </c>
      <c r="G75" s="79">
        <v>332.08</v>
      </c>
      <c r="H75" s="80">
        <f>TRUNC(G75*$H$15+G75,2)</f>
        <v>423.83</v>
      </c>
      <c r="I75" s="80">
        <f t="shared" ref="I75" si="16">TRUNC(H75*F75,2)</f>
        <v>3382.16</v>
      </c>
      <c r="J75" s="117">
        <v>0</v>
      </c>
      <c r="K75" s="118" t="e">
        <f>(J75*#REF!)</f>
        <v>#REF!</v>
      </c>
      <c r="L75" s="96"/>
      <c r="N75" s="105"/>
    </row>
    <row r="76" spans="2:14" s="1" customFormat="1" ht="12.75" customHeight="1">
      <c r="B76" s="325" t="s">
        <v>6</v>
      </c>
      <c r="C76" s="326"/>
      <c r="D76" s="326"/>
      <c r="E76" s="326"/>
      <c r="F76" s="326"/>
      <c r="G76" s="323">
        <f>(100%)</f>
        <v>1</v>
      </c>
      <c r="H76" s="324"/>
      <c r="I76" s="197">
        <f>SUM(I71:I75)</f>
        <v>5737.82</v>
      </c>
      <c r="J76" s="115" t="e">
        <f>(K76/#REF!)</f>
        <v>#REF!</v>
      </c>
      <c r="K76" s="116" t="e">
        <f>SUM(K71:K74)</f>
        <v>#REF!</v>
      </c>
      <c r="L76" s="71"/>
      <c r="N76" s="6"/>
    </row>
    <row r="77" spans="2:14" s="104" customFormat="1">
      <c r="B77" s="195">
        <v>11</v>
      </c>
      <c r="C77" s="254" t="s">
        <v>45</v>
      </c>
      <c r="D77" s="247"/>
      <c r="E77" s="247"/>
      <c r="F77" s="247"/>
      <c r="G77" s="247"/>
      <c r="H77" s="247"/>
      <c r="I77" s="248"/>
      <c r="J77" s="96"/>
      <c r="K77" s="96"/>
      <c r="L77" s="103"/>
      <c r="N77" s="105"/>
    </row>
    <row r="78" spans="2:14" s="104" customFormat="1" ht="33.75" customHeight="1">
      <c r="B78" s="196" t="s">
        <v>124</v>
      </c>
      <c r="C78" s="76" t="s">
        <v>57</v>
      </c>
      <c r="D78" s="251" t="s">
        <v>58</v>
      </c>
      <c r="E78" s="249">
        <v>83534</v>
      </c>
      <c r="F78" s="78">
        <v>3.98</v>
      </c>
      <c r="G78" s="79">
        <v>474.34</v>
      </c>
      <c r="H78" s="80">
        <f>TRUNC(G78*$H$15+G78,2)</f>
        <v>605.4</v>
      </c>
      <c r="I78" s="80">
        <f t="shared" ref="I78:I79" si="17">TRUNC(H78*F78,2)</f>
        <v>2409.4899999999998</v>
      </c>
      <c r="J78" s="117">
        <v>0.8</v>
      </c>
      <c r="K78" s="118" t="e">
        <f>(J78*#REF!)</f>
        <v>#REF!</v>
      </c>
      <c r="L78" s="96"/>
      <c r="N78" s="105"/>
    </row>
    <row r="79" spans="2:14" s="104" customFormat="1" ht="33.75" customHeight="1">
      <c r="B79" s="196" t="s">
        <v>200</v>
      </c>
      <c r="C79" s="76" t="s">
        <v>283</v>
      </c>
      <c r="D79" s="251" t="s">
        <v>58</v>
      </c>
      <c r="E79" s="249">
        <v>87298</v>
      </c>
      <c r="F79" s="78">
        <v>1.9883999999999999</v>
      </c>
      <c r="G79" s="79">
        <v>441.56</v>
      </c>
      <c r="H79" s="80">
        <f>TRUNC(G79*$H$15+G79,2)</f>
        <v>563.55999999999995</v>
      </c>
      <c r="I79" s="80">
        <f t="shared" si="17"/>
        <v>1120.58</v>
      </c>
      <c r="J79" s="117">
        <v>0.8</v>
      </c>
      <c r="K79" s="118" t="e">
        <f>(J79*#REF!)</f>
        <v>#REF!</v>
      </c>
      <c r="L79" s="96"/>
      <c r="N79" s="105"/>
    </row>
    <row r="80" spans="2:14" ht="42.75" customHeight="1">
      <c r="B80" s="196" t="s">
        <v>317</v>
      </c>
      <c r="C80" s="76" t="s">
        <v>282</v>
      </c>
      <c r="D80" s="251" t="s">
        <v>59</v>
      </c>
      <c r="E80" s="249">
        <v>87251</v>
      </c>
      <c r="F80" s="78">
        <v>66.28</v>
      </c>
      <c r="G80" s="79">
        <v>27.59</v>
      </c>
      <c r="H80" s="80">
        <f>TRUNC(G80*$H$15+G80,2)</f>
        <v>35.21</v>
      </c>
      <c r="I80" s="80">
        <f>(H80*F80)</f>
        <v>2333.7188000000001</v>
      </c>
      <c r="J80" s="256">
        <v>0</v>
      </c>
      <c r="K80" s="257" t="e">
        <f>(J80*#REF!)</f>
        <v>#REF!</v>
      </c>
      <c r="L80" s="70"/>
    </row>
    <row r="81" spans="2:14" s="104" customFormat="1" ht="37.5" customHeight="1">
      <c r="B81" s="196" t="s">
        <v>318</v>
      </c>
      <c r="C81" s="76" t="s">
        <v>284</v>
      </c>
      <c r="D81" s="251" t="s">
        <v>59</v>
      </c>
      <c r="E81" s="250" t="s">
        <v>68</v>
      </c>
      <c r="F81" s="78">
        <v>42.75</v>
      </c>
      <c r="G81" s="79">
        <v>8.65</v>
      </c>
      <c r="H81" s="80">
        <f>TRUNC(G81*$H$15+G81,2)</f>
        <v>11.03</v>
      </c>
      <c r="I81" s="80">
        <f t="shared" ref="I81" si="18">TRUNC(H81*F81,2)</f>
        <v>471.53</v>
      </c>
      <c r="J81" s="117">
        <v>0</v>
      </c>
      <c r="K81" s="118" t="e">
        <f>(J81*#REF!)</f>
        <v>#REF!</v>
      </c>
      <c r="L81" s="96"/>
      <c r="N81" s="105"/>
    </row>
    <row r="82" spans="2:14" s="1" customFormat="1" ht="12.75" customHeight="1">
      <c r="B82" s="325" t="s">
        <v>6</v>
      </c>
      <c r="C82" s="326"/>
      <c r="D82" s="326"/>
      <c r="E82" s="326"/>
      <c r="F82" s="326"/>
      <c r="G82" s="323">
        <f>(100%)</f>
        <v>1</v>
      </c>
      <c r="H82" s="324"/>
      <c r="I82" s="197">
        <f>SUM(I78:I81)</f>
        <v>6335.3188</v>
      </c>
      <c r="J82" s="115" t="e">
        <f>(K82/#REF!)</f>
        <v>#REF!</v>
      </c>
      <c r="K82" s="116" t="e">
        <f>SUM(#REF!)</f>
        <v>#REF!</v>
      </c>
      <c r="L82" s="71"/>
      <c r="N82" s="6"/>
    </row>
    <row r="83" spans="2:14" s="104" customFormat="1">
      <c r="B83" s="195">
        <v>12</v>
      </c>
      <c r="C83" s="254" t="s">
        <v>46</v>
      </c>
      <c r="D83" s="321"/>
      <c r="E83" s="321"/>
      <c r="F83" s="321"/>
      <c r="G83" s="321"/>
      <c r="H83" s="321"/>
      <c r="I83" s="322"/>
      <c r="J83" s="96"/>
      <c r="K83" s="96"/>
      <c r="L83" s="103"/>
      <c r="N83" s="105"/>
    </row>
    <row r="84" spans="2:14" s="104" customFormat="1" ht="38.25" customHeight="1">
      <c r="B84" s="196" t="s">
        <v>125</v>
      </c>
      <c r="C84" s="76" t="s">
        <v>223</v>
      </c>
      <c r="D84" s="251" t="s">
        <v>59</v>
      </c>
      <c r="E84" s="249">
        <v>88483</v>
      </c>
      <c r="F84" s="78">
        <v>240.65</v>
      </c>
      <c r="G84" s="79">
        <v>1.98</v>
      </c>
      <c r="H84" s="80">
        <f>TRUNC(G84*$H$15+G84,2)</f>
        <v>2.52</v>
      </c>
      <c r="I84" s="80">
        <f t="shared" ref="I84:I86" si="19">TRUNC(H84*F84,2)</f>
        <v>606.42999999999995</v>
      </c>
      <c r="J84" s="117">
        <v>0</v>
      </c>
      <c r="K84" s="118" t="e">
        <f>(J84*#REF!)</f>
        <v>#REF!</v>
      </c>
      <c r="L84" s="96"/>
      <c r="N84" s="105"/>
    </row>
    <row r="85" spans="2:14" s="104" customFormat="1" ht="35.25" customHeight="1">
      <c r="B85" s="196" t="s">
        <v>126</v>
      </c>
      <c r="C85" s="76" t="s">
        <v>62</v>
      </c>
      <c r="D85" s="251" t="s">
        <v>59</v>
      </c>
      <c r="E85" s="249">
        <v>88489</v>
      </c>
      <c r="F85" s="78">
        <v>226.65</v>
      </c>
      <c r="G85" s="79">
        <v>9.69</v>
      </c>
      <c r="H85" s="80">
        <f>TRUNC(G85*$H$15+G85,2)</f>
        <v>12.36</v>
      </c>
      <c r="I85" s="80">
        <f t="shared" si="19"/>
        <v>2801.39</v>
      </c>
      <c r="J85" s="117">
        <v>0</v>
      </c>
      <c r="K85" s="118" t="e">
        <f>(J85*#REF!)</f>
        <v>#REF!</v>
      </c>
      <c r="L85" s="96"/>
      <c r="N85" s="105"/>
    </row>
    <row r="86" spans="2:14" s="104" customFormat="1" ht="35.25" customHeight="1">
      <c r="B86" s="196" t="s">
        <v>269</v>
      </c>
      <c r="C86" s="76" t="s">
        <v>224</v>
      </c>
      <c r="D86" s="251" t="s">
        <v>59</v>
      </c>
      <c r="E86" s="183">
        <v>95468</v>
      </c>
      <c r="F86" s="78">
        <v>24.12</v>
      </c>
      <c r="G86" s="79">
        <v>31.84</v>
      </c>
      <c r="H86" s="80">
        <f>TRUNC(G86*$H$15+G86,2)</f>
        <v>40.630000000000003</v>
      </c>
      <c r="I86" s="80">
        <f t="shared" si="19"/>
        <v>979.99</v>
      </c>
      <c r="J86" s="117">
        <v>0</v>
      </c>
      <c r="K86" s="118" t="e">
        <f>(J86*#REF!)</f>
        <v>#REF!</v>
      </c>
      <c r="L86" s="96"/>
      <c r="N86" s="105"/>
    </row>
    <row r="87" spans="2:14" s="1" customFormat="1" ht="12.75" customHeight="1">
      <c r="B87" s="325" t="s">
        <v>6</v>
      </c>
      <c r="C87" s="326"/>
      <c r="D87" s="326"/>
      <c r="E87" s="326"/>
      <c r="F87" s="326"/>
      <c r="G87" s="323">
        <f>(100%)</f>
        <v>1</v>
      </c>
      <c r="H87" s="324"/>
      <c r="I87" s="197">
        <f>SUM(I84:I86)</f>
        <v>4387.8099999999995</v>
      </c>
      <c r="J87" s="115" t="e">
        <f>(K87/#REF!)</f>
        <v>#REF!</v>
      </c>
      <c r="K87" s="116" t="e">
        <f>SUM(K85:K85)</f>
        <v>#REF!</v>
      </c>
      <c r="L87" s="71"/>
      <c r="M87" s="82"/>
      <c r="N87" s="6"/>
    </row>
    <row r="88" spans="2:14" s="104" customFormat="1">
      <c r="B88" s="195">
        <v>13</v>
      </c>
      <c r="C88" s="21" t="s">
        <v>48</v>
      </c>
      <c r="D88" s="321"/>
      <c r="E88" s="321"/>
      <c r="F88" s="321"/>
      <c r="G88" s="321"/>
      <c r="H88" s="321"/>
      <c r="I88" s="322"/>
      <c r="J88" s="96"/>
      <c r="K88" s="96"/>
      <c r="L88" s="103"/>
      <c r="N88" s="105"/>
    </row>
    <row r="89" spans="2:14" s="104" customFormat="1" ht="15.75" customHeight="1">
      <c r="B89" s="393" t="s">
        <v>208</v>
      </c>
      <c r="C89" s="395"/>
      <c r="D89" s="186"/>
      <c r="E89" s="187"/>
      <c r="F89" s="188"/>
      <c r="G89" s="189"/>
      <c r="H89" s="190"/>
      <c r="I89" s="198"/>
      <c r="J89" s="117">
        <v>0</v>
      </c>
      <c r="K89" s="118" t="e">
        <f>(J89*#REF!)</f>
        <v>#REF!</v>
      </c>
      <c r="L89" s="96"/>
      <c r="N89" s="105"/>
    </row>
    <row r="90" spans="2:14" s="155" customFormat="1" ht="31.5" customHeight="1">
      <c r="B90" s="196" t="s">
        <v>219</v>
      </c>
      <c r="C90" s="76" t="s">
        <v>158</v>
      </c>
      <c r="D90" s="78" t="s">
        <v>55</v>
      </c>
      <c r="E90" s="183">
        <v>89356</v>
      </c>
      <c r="F90" s="79">
        <v>27.37</v>
      </c>
      <c r="G90" s="79">
        <v>15.09</v>
      </c>
      <c r="H90" s="80">
        <f t="shared" ref="H90:H104" si="20">TRUNC((G90*$H$15)+G90,2)</f>
        <v>19.25</v>
      </c>
      <c r="I90" s="80">
        <f t="shared" ref="I90:I100" si="21">TRUNC(H90*F90,2)</f>
        <v>526.87</v>
      </c>
      <c r="J90" s="117">
        <v>0</v>
      </c>
      <c r="K90" s="118" t="e">
        <f>(J90*#REF!)</f>
        <v>#REF!</v>
      </c>
      <c r="L90" s="96"/>
    </row>
    <row r="91" spans="2:14" s="104" customFormat="1" ht="32.25" customHeight="1">
      <c r="B91" s="196" t="s">
        <v>220</v>
      </c>
      <c r="C91" s="76" t="s">
        <v>204</v>
      </c>
      <c r="D91" s="78" t="s">
        <v>55</v>
      </c>
      <c r="E91" s="249">
        <v>89357</v>
      </c>
      <c r="F91" s="79">
        <v>0.47</v>
      </c>
      <c r="G91" s="79">
        <v>20.89</v>
      </c>
      <c r="H91" s="80">
        <f t="shared" si="20"/>
        <v>26.66</v>
      </c>
      <c r="I91" s="80">
        <f t="shared" si="21"/>
        <v>12.53</v>
      </c>
      <c r="J91" s="117">
        <v>0</v>
      </c>
      <c r="K91" s="118" t="e">
        <f>(J91*#REF!)</f>
        <v>#REF!</v>
      </c>
      <c r="L91" s="96"/>
      <c r="N91" s="105"/>
    </row>
    <row r="92" spans="2:14" s="104" customFormat="1" ht="31.5" customHeight="1">
      <c r="B92" s="196" t="s">
        <v>319</v>
      </c>
      <c r="C92" s="76" t="s">
        <v>159</v>
      </c>
      <c r="D92" s="78" t="s">
        <v>55</v>
      </c>
      <c r="E92" s="249">
        <v>89449</v>
      </c>
      <c r="F92" s="79">
        <v>18.600000000000001</v>
      </c>
      <c r="G92" s="79">
        <v>12.72</v>
      </c>
      <c r="H92" s="80">
        <f t="shared" si="20"/>
        <v>16.23</v>
      </c>
      <c r="I92" s="80">
        <f t="shared" si="21"/>
        <v>301.87</v>
      </c>
      <c r="J92" s="117">
        <v>0</v>
      </c>
      <c r="K92" s="118" t="e">
        <f>(J92*#REF!)</f>
        <v>#REF!</v>
      </c>
      <c r="L92" s="96"/>
      <c r="N92" s="105"/>
    </row>
    <row r="93" spans="2:14" s="104" customFormat="1" ht="37.5" customHeight="1">
      <c r="B93" s="196" t="s">
        <v>355</v>
      </c>
      <c r="C93" s="76" t="s">
        <v>228</v>
      </c>
      <c r="D93" s="78" t="s">
        <v>55</v>
      </c>
      <c r="E93" s="249">
        <v>89451</v>
      </c>
      <c r="F93" s="79">
        <v>9.6</v>
      </c>
      <c r="G93" s="79">
        <v>27.17</v>
      </c>
      <c r="H93" s="80">
        <f t="shared" si="20"/>
        <v>34.67</v>
      </c>
      <c r="I93" s="80">
        <f t="shared" ref="I93" si="22">TRUNC(H93*F93,2)</f>
        <v>332.83</v>
      </c>
      <c r="J93" s="117">
        <v>0</v>
      </c>
      <c r="K93" s="118" t="e">
        <f>(J93*#REF!)</f>
        <v>#REF!</v>
      </c>
      <c r="L93" s="96"/>
      <c r="N93" s="105"/>
    </row>
    <row r="94" spans="2:14" s="104" customFormat="1" ht="33" customHeight="1">
      <c r="B94" s="196" t="s">
        <v>356</v>
      </c>
      <c r="C94" s="76" t="s">
        <v>160</v>
      </c>
      <c r="D94" s="78" t="s">
        <v>77</v>
      </c>
      <c r="E94" s="249">
        <v>89362</v>
      </c>
      <c r="F94" s="79">
        <v>15</v>
      </c>
      <c r="G94" s="79">
        <v>6.14</v>
      </c>
      <c r="H94" s="80">
        <f t="shared" si="20"/>
        <v>7.83</v>
      </c>
      <c r="I94" s="80">
        <f t="shared" si="21"/>
        <v>117.45</v>
      </c>
      <c r="J94" s="117">
        <v>0</v>
      </c>
      <c r="K94" s="118" t="e">
        <f>(J94*#REF!)</f>
        <v>#REF!</v>
      </c>
      <c r="L94" s="96"/>
      <c r="N94" s="105"/>
    </row>
    <row r="95" spans="2:14" s="104" customFormat="1" ht="33" customHeight="1">
      <c r="B95" s="196" t="s">
        <v>357</v>
      </c>
      <c r="C95" s="76" t="s">
        <v>273</v>
      </c>
      <c r="D95" s="78" t="s">
        <v>77</v>
      </c>
      <c r="E95" s="249">
        <v>89367</v>
      </c>
      <c r="F95" s="79">
        <v>1</v>
      </c>
      <c r="G95" s="79">
        <v>8.2100000000000009</v>
      </c>
      <c r="H95" s="80">
        <f t="shared" si="20"/>
        <v>10.47</v>
      </c>
      <c r="I95" s="80">
        <f t="shared" ref="I95" si="23">TRUNC(H95*F95,2)</f>
        <v>10.47</v>
      </c>
      <c r="J95" s="117">
        <v>0</v>
      </c>
      <c r="K95" s="118" t="e">
        <f>(J95*#REF!)</f>
        <v>#REF!</v>
      </c>
      <c r="L95" s="96"/>
      <c r="N95" s="105"/>
    </row>
    <row r="96" spans="2:14" s="104" customFormat="1" ht="36" customHeight="1">
      <c r="B96" s="196" t="s">
        <v>358</v>
      </c>
      <c r="C96" s="76" t="s">
        <v>161</v>
      </c>
      <c r="D96" s="78" t="s">
        <v>77</v>
      </c>
      <c r="E96" s="249">
        <v>89501</v>
      </c>
      <c r="F96" s="79">
        <v>4</v>
      </c>
      <c r="G96" s="79">
        <v>9.32</v>
      </c>
      <c r="H96" s="80">
        <f t="shared" si="20"/>
        <v>11.89</v>
      </c>
      <c r="I96" s="80">
        <f t="shared" si="21"/>
        <v>47.56</v>
      </c>
      <c r="J96" s="117">
        <v>0</v>
      </c>
      <c r="K96" s="118" t="e">
        <f>(J96*#REF!)</f>
        <v>#REF!</v>
      </c>
      <c r="L96" s="96"/>
      <c r="N96" s="105"/>
    </row>
    <row r="97" spans="2:14" s="104" customFormat="1" ht="42" customHeight="1">
      <c r="B97" s="196" t="s">
        <v>359</v>
      </c>
      <c r="C97" s="76" t="s">
        <v>229</v>
      </c>
      <c r="D97" s="78" t="s">
        <v>77</v>
      </c>
      <c r="E97" s="249">
        <v>89513</v>
      </c>
      <c r="F97" s="79">
        <v>2</v>
      </c>
      <c r="G97" s="79">
        <v>65.25</v>
      </c>
      <c r="H97" s="80">
        <f t="shared" si="20"/>
        <v>83.27</v>
      </c>
      <c r="I97" s="80">
        <f t="shared" ref="I97" si="24">TRUNC(H97*F97,2)</f>
        <v>166.54</v>
      </c>
      <c r="J97" s="117">
        <v>0</v>
      </c>
      <c r="K97" s="118" t="e">
        <f>(J97*#REF!)</f>
        <v>#REF!</v>
      </c>
      <c r="L97" s="96"/>
      <c r="N97" s="105"/>
    </row>
    <row r="98" spans="2:14" s="15" customFormat="1" ht="45" customHeight="1">
      <c r="B98" s="196" t="s">
        <v>360</v>
      </c>
      <c r="C98" s="76" t="s">
        <v>162</v>
      </c>
      <c r="D98" s="78" t="s">
        <v>77</v>
      </c>
      <c r="E98" s="250">
        <v>90373</v>
      </c>
      <c r="F98" s="79">
        <v>5</v>
      </c>
      <c r="G98" s="79">
        <v>9.92</v>
      </c>
      <c r="H98" s="80">
        <f t="shared" si="20"/>
        <v>12.66</v>
      </c>
      <c r="I98" s="80">
        <f t="shared" si="21"/>
        <v>63.3</v>
      </c>
      <c r="J98" s="120"/>
      <c r="K98" s="121"/>
      <c r="L98" s="84"/>
      <c r="N98" s="16"/>
    </row>
    <row r="99" spans="2:14" s="15" customFormat="1" ht="48.75" customHeight="1">
      <c r="B99" s="196" t="s">
        <v>361</v>
      </c>
      <c r="C99" s="76" t="s">
        <v>275</v>
      </c>
      <c r="D99" s="78" t="s">
        <v>77</v>
      </c>
      <c r="E99" s="250">
        <v>89366</v>
      </c>
      <c r="F99" s="79">
        <v>2</v>
      </c>
      <c r="G99" s="79">
        <v>10.76</v>
      </c>
      <c r="H99" s="80">
        <f t="shared" si="20"/>
        <v>13.73</v>
      </c>
      <c r="I99" s="80">
        <f t="shared" ref="I99" si="25">TRUNC(H99*F99,2)</f>
        <v>27.46</v>
      </c>
      <c r="J99" s="120"/>
      <c r="K99" s="121"/>
      <c r="L99" s="84"/>
      <c r="N99" s="16"/>
    </row>
    <row r="100" spans="2:14" s="15" customFormat="1" ht="37.5" customHeight="1">
      <c r="B100" s="196" t="s">
        <v>362</v>
      </c>
      <c r="C100" s="76" t="s">
        <v>163</v>
      </c>
      <c r="D100" s="78" t="s">
        <v>77</v>
      </c>
      <c r="E100" s="250">
        <v>89395</v>
      </c>
      <c r="F100" s="79">
        <v>2</v>
      </c>
      <c r="G100" s="79">
        <v>8.5399999999999991</v>
      </c>
      <c r="H100" s="80">
        <f t="shared" si="20"/>
        <v>10.89</v>
      </c>
      <c r="I100" s="80">
        <f t="shared" si="21"/>
        <v>21.78</v>
      </c>
      <c r="J100" s="120"/>
      <c r="K100" s="121"/>
      <c r="L100" s="84"/>
      <c r="N100" s="16"/>
    </row>
    <row r="101" spans="2:14" s="15" customFormat="1" ht="37.5" customHeight="1">
      <c r="B101" s="196" t="s">
        <v>363</v>
      </c>
      <c r="C101" s="76" t="s">
        <v>274</v>
      </c>
      <c r="D101" s="78" t="s">
        <v>77</v>
      </c>
      <c r="E101" s="250">
        <v>89625</v>
      </c>
      <c r="F101" s="79">
        <v>3</v>
      </c>
      <c r="G101" s="79">
        <v>14.29</v>
      </c>
      <c r="H101" s="80">
        <f t="shared" si="20"/>
        <v>18.23</v>
      </c>
      <c r="I101" s="80">
        <f t="shared" ref="I101" si="26">TRUNC(H101*F101,2)</f>
        <v>54.69</v>
      </c>
      <c r="J101" s="120"/>
      <c r="K101" s="121"/>
      <c r="L101" s="84"/>
      <c r="N101" s="16"/>
    </row>
    <row r="102" spans="2:14" s="15" customFormat="1" ht="41.25" customHeight="1">
      <c r="B102" s="196" t="s">
        <v>364</v>
      </c>
      <c r="C102" s="76" t="s">
        <v>164</v>
      </c>
      <c r="D102" s="78" t="s">
        <v>77</v>
      </c>
      <c r="E102" s="250">
        <v>89627</v>
      </c>
      <c r="F102" s="79">
        <v>4</v>
      </c>
      <c r="G102" s="79">
        <v>14.06</v>
      </c>
      <c r="H102" s="80">
        <f t="shared" si="20"/>
        <v>17.940000000000001</v>
      </c>
      <c r="I102" s="80">
        <f t="shared" ref="I102" si="27">TRUNC(H102*F102,2)</f>
        <v>71.760000000000005</v>
      </c>
      <c r="J102" s="120"/>
      <c r="K102" s="121"/>
      <c r="L102" s="84"/>
      <c r="N102" s="16"/>
    </row>
    <row r="103" spans="2:14" s="15" customFormat="1" ht="54" customHeight="1">
      <c r="B103" s="196" t="s">
        <v>365</v>
      </c>
      <c r="C103" s="76" t="s">
        <v>276</v>
      </c>
      <c r="D103" s="78" t="s">
        <v>77</v>
      </c>
      <c r="E103" s="250">
        <v>90374</v>
      </c>
      <c r="F103" s="79">
        <v>2</v>
      </c>
      <c r="G103" s="79">
        <v>14.98</v>
      </c>
      <c r="H103" s="80">
        <f t="shared" si="20"/>
        <v>19.11</v>
      </c>
      <c r="I103" s="80">
        <f t="shared" ref="I103" si="28">TRUNC(H103*F103,2)</f>
        <v>38.22</v>
      </c>
      <c r="J103" s="120"/>
      <c r="K103" s="121"/>
      <c r="L103" s="84"/>
      <c r="N103" s="16"/>
    </row>
    <row r="104" spans="2:14" s="15" customFormat="1" ht="53.25" customHeight="1">
      <c r="B104" s="196" t="s">
        <v>366</v>
      </c>
      <c r="C104" s="76" t="s">
        <v>234</v>
      </c>
      <c r="D104" s="78" t="s">
        <v>77</v>
      </c>
      <c r="E104" s="250">
        <v>89385</v>
      </c>
      <c r="F104" s="79">
        <v>2</v>
      </c>
      <c r="G104" s="79">
        <v>5.0599999999999996</v>
      </c>
      <c r="H104" s="80">
        <f t="shared" si="20"/>
        <v>6.45</v>
      </c>
      <c r="I104" s="80">
        <f t="shared" ref="I104" si="29">TRUNC(H104*F104,2)</f>
        <v>12.9</v>
      </c>
      <c r="J104" s="120"/>
      <c r="K104" s="121"/>
      <c r="L104" s="84"/>
      <c r="N104" s="16"/>
    </row>
    <row r="105" spans="2:14" s="104" customFormat="1" ht="55.5" customHeight="1">
      <c r="B105" s="196" t="s">
        <v>367</v>
      </c>
      <c r="C105" s="76" t="s">
        <v>215</v>
      </c>
      <c r="D105" s="251" t="s">
        <v>77</v>
      </c>
      <c r="E105" s="249">
        <v>89383</v>
      </c>
      <c r="F105" s="78">
        <v>10</v>
      </c>
      <c r="G105" s="79">
        <v>4.79</v>
      </c>
      <c r="H105" s="80">
        <f t="shared" ref="H105:H118" si="30">TRUNC(G105*$H$15+G105,2)</f>
        <v>6.11</v>
      </c>
      <c r="I105" s="80">
        <f t="shared" ref="I105:I139" si="31">TRUNC(H105*F105,2)</f>
        <v>61.1</v>
      </c>
      <c r="J105" s="117">
        <v>0</v>
      </c>
      <c r="K105" s="118" t="e">
        <f>(J105*#REF!)</f>
        <v>#REF!</v>
      </c>
      <c r="L105" s="96"/>
      <c r="N105" s="105"/>
    </row>
    <row r="106" spans="2:14" s="104" customFormat="1" ht="55.5" customHeight="1">
      <c r="B106" s="196" t="s">
        <v>368</v>
      </c>
      <c r="C106" s="76" t="s">
        <v>216</v>
      </c>
      <c r="D106" s="251" t="s">
        <v>77</v>
      </c>
      <c r="E106" s="249">
        <v>89596</v>
      </c>
      <c r="F106" s="78">
        <v>6</v>
      </c>
      <c r="G106" s="79">
        <v>7.76</v>
      </c>
      <c r="H106" s="80">
        <f t="shared" si="30"/>
        <v>9.9</v>
      </c>
      <c r="I106" s="80">
        <f t="shared" ref="I106:I107" si="32">TRUNC(H106*F106,2)</f>
        <v>59.4</v>
      </c>
      <c r="J106" s="117">
        <v>0</v>
      </c>
      <c r="K106" s="118" t="e">
        <f>(J106*#REF!)</f>
        <v>#REF!</v>
      </c>
      <c r="L106" s="96"/>
      <c r="N106" s="105"/>
    </row>
    <row r="107" spans="2:14" s="104" customFormat="1" ht="55.5" customHeight="1">
      <c r="B107" s="196" t="s">
        <v>369</v>
      </c>
      <c r="C107" s="76" t="s">
        <v>233</v>
      </c>
      <c r="D107" s="251" t="s">
        <v>77</v>
      </c>
      <c r="E107" s="249">
        <v>89613</v>
      </c>
      <c r="F107" s="78">
        <v>2</v>
      </c>
      <c r="G107" s="79">
        <v>23.41</v>
      </c>
      <c r="H107" s="80">
        <f t="shared" si="30"/>
        <v>29.87</v>
      </c>
      <c r="I107" s="80">
        <f t="shared" si="32"/>
        <v>59.74</v>
      </c>
      <c r="J107" s="117">
        <v>0</v>
      </c>
      <c r="K107" s="118" t="e">
        <f>(J107*#REF!)</f>
        <v>#REF!</v>
      </c>
      <c r="L107" s="96"/>
      <c r="N107" s="105"/>
    </row>
    <row r="108" spans="2:14" s="104" customFormat="1" ht="55.5" customHeight="1">
      <c r="B108" s="196" t="s">
        <v>370</v>
      </c>
      <c r="C108" s="76" t="s">
        <v>250</v>
      </c>
      <c r="D108" s="251" t="s">
        <v>77</v>
      </c>
      <c r="E108" s="249">
        <v>94713</v>
      </c>
      <c r="F108" s="78">
        <v>1</v>
      </c>
      <c r="G108" s="79">
        <v>160.09</v>
      </c>
      <c r="H108" s="80">
        <f t="shared" si="30"/>
        <v>204.32</v>
      </c>
      <c r="I108" s="80">
        <f t="shared" ref="I108" si="33">TRUNC(H108*F108,2)</f>
        <v>204.32</v>
      </c>
      <c r="J108" s="117">
        <v>0</v>
      </c>
      <c r="K108" s="118" t="e">
        <f>(J108*#REF!)</f>
        <v>#REF!</v>
      </c>
      <c r="L108" s="96"/>
      <c r="N108" s="105"/>
    </row>
    <row r="109" spans="2:14" s="104" customFormat="1" ht="27" customHeight="1">
      <c r="B109" s="196" t="s">
        <v>371</v>
      </c>
      <c r="C109" s="76" t="s">
        <v>78</v>
      </c>
      <c r="D109" s="251" t="s">
        <v>77</v>
      </c>
      <c r="E109" s="249">
        <v>88503</v>
      </c>
      <c r="F109" s="78">
        <v>1</v>
      </c>
      <c r="G109" s="79">
        <v>642.32000000000005</v>
      </c>
      <c r="H109" s="80">
        <f t="shared" si="30"/>
        <v>819.79</v>
      </c>
      <c r="I109" s="80">
        <f t="shared" si="31"/>
        <v>819.79</v>
      </c>
      <c r="J109" s="117">
        <v>0</v>
      </c>
      <c r="K109" s="118" t="e">
        <f>(J109*#REF!)</f>
        <v>#REF!</v>
      </c>
      <c r="L109" s="96"/>
      <c r="N109" s="105"/>
    </row>
    <row r="110" spans="2:14" s="104" customFormat="1" ht="54.75" customHeight="1">
      <c r="B110" s="196" t="s">
        <v>372</v>
      </c>
      <c r="C110" s="76" t="s">
        <v>277</v>
      </c>
      <c r="D110" s="251" t="s">
        <v>77</v>
      </c>
      <c r="E110" s="183">
        <v>96662</v>
      </c>
      <c r="F110" s="78">
        <v>1</v>
      </c>
      <c r="G110" s="79">
        <v>8.9700000000000006</v>
      </c>
      <c r="H110" s="80">
        <f t="shared" si="30"/>
        <v>11.44</v>
      </c>
      <c r="I110" s="80">
        <f t="shared" ref="I110:I114" si="34">TRUNC(H110*F110,2)</f>
        <v>11.44</v>
      </c>
      <c r="J110" s="117">
        <v>0</v>
      </c>
      <c r="K110" s="118" t="e">
        <f>(J110*#REF!)</f>
        <v>#REF!</v>
      </c>
      <c r="L110" s="96"/>
      <c r="N110" s="105"/>
    </row>
    <row r="111" spans="2:14" s="104" customFormat="1" ht="40.5" customHeight="1">
      <c r="B111" s="196" t="s">
        <v>373</v>
      </c>
      <c r="C111" s="76" t="s">
        <v>213</v>
      </c>
      <c r="D111" s="251" t="s">
        <v>77</v>
      </c>
      <c r="E111" s="183" t="s">
        <v>212</v>
      </c>
      <c r="F111" s="78">
        <v>2</v>
      </c>
      <c r="G111" s="79">
        <v>11.48</v>
      </c>
      <c r="H111" s="80">
        <f t="shared" si="30"/>
        <v>14.65</v>
      </c>
      <c r="I111" s="80">
        <f t="shared" ref="I111" si="35">TRUNC(H111*F111,2)</f>
        <v>29.3</v>
      </c>
      <c r="J111" s="117">
        <v>0</v>
      </c>
      <c r="K111" s="118" t="e">
        <f>(J111*#REF!)</f>
        <v>#REF!</v>
      </c>
      <c r="L111" s="96"/>
      <c r="N111" s="105"/>
    </row>
    <row r="112" spans="2:14" s="104" customFormat="1" ht="40.5" customHeight="1">
      <c r="B112" s="196" t="s">
        <v>374</v>
      </c>
      <c r="C112" s="76" t="s">
        <v>231</v>
      </c>
      <c r="D112" s="251" t="s">
        <v>77</v>
      </c>
      <c r="E112" s="183" t="s">
        <v>232</v>
      </c>
      <c r="F112" s="78">
        <v>1</v>
      </c>
      <c r="G112" s="79">
        <v>21.26</v>
      </c>
      <c r="H112" s="80">
        <f t="shared" si="30"/>
        <v>27.13</v>
      </c>
      <c r="I112" s="80">
        <f t="shared" ref="I112" si="36">TRUNC(H112*F112,2)</f>
        <v>27.13</v>
      </c>
      <c r="J112" s="117">
        <v>0</v>
      </c>
      <c r="K112" s="118" t="e">
        <f>(J112*#REF!)</f>
        <v>#REF!</v>
      </c>
      <c r="L112" s="96"/>
      <c r="N112" s="105"/>
    </row>
    <row r="113" spans="2:14" s="270" customFormat="1" ht="52.5" customHeight="1">
      <c r="B113" s="196" t="s">
        <v>375</v>
      </c>
      <c r="C113" s="76" t="s">
        <v>236</v>
      </c>
      <c r="D113" s="251" t="s">
        <v>77</v>
      </c>
      <c r="E113" s="183">
        <v>94489</v>
      </c>
      <c r="F113" s="78">
        <v>1</v>
      </c>
      <c r="G113" s="79">
        <v>20.22</v>
      </c>
      <c r="H113" s="80">
        <f t="shared" si="30"/>
        <v>25.8</v>
      </c>
      <c r="I113" s="80">
        <f t="shared" ref="I113" si="37">TRUNC(H113*F113,2)</f>
        <v>25.8</v>
      </c>
      <c r="J113" s="267">
        <v>0</v>
      </c>
      <c r="K113" s="268" t="e">
        <f>(J113*#REF!)</f>
        <v>#REF!</v>
      </c>
      <c r="L113" s="269"/>
      <c r="N113" s="271"/>
    </row>
    <row r="114" spans="2:14" s="104" customFormat="1" ht="52.5" customHeight="1">
      <c r="B114" s="196" t="s">
        <v>376</v>
      </c>
      <c r="C114" s="76" t="s">
        <v>235</v>
      </c>
      <c r="D114" s="251" t="s">
        <v>77</v>
      </c>
      <c r="E114" s="183">
        <v>94499</v>
      </c>
      <c r="F114" s="78">
        <v>1</v>
      </c>
      <c r="G114" s="79">
        <v>113.53</v>
      </c>
      <c r="H114" s="80">
        <f t="shared" si="30"/>
        <v>144.88999999999999</v>
      </c>
      <c r="I114" s="80">
        <f t="shared" si="34"/>
        <v>144.88999999999999</v>
      </c>
      <c r="J114" s="117">
        <v>0</v>
      </c>
      <c r="K114" s="118" t="e">
        <f>(J114*#REF!)</f>
        <v>#REF!</v>
      </c>
      <c r="L114" s="96"/>
      <c r="N114" s="105"/>
    </row>
    <row r="115" spans="2:14" s="104" customFormat="1" ht="52.5" customHeight="1">
      <c r="B115" s="196" t="s">
        <v>377</v>
      </c>
      <c r="C115" s="76" t="s">
        <v>211</v>
      </c>
      <c r="D115" s="251" t="s">
        <v>77</v>
      </c>
      <c r="E115" s="183">
        <v>89987</v>
      </c>
      <c r="F115" s="78">
        <v>3</v>
      </c>
      <c r="G115" s="79">
        <v>35.78</v>
      </c>
      <c r="H115" s="80">
        <f t="shared" si="30"/>
        <v>45.66</v>
      </c>
      <c r="I115" s="80">
        <f t="shared" ref="I115" si="38">TRUNC(H115*F115,2)</f>
        <v>136.97999999999999</v>
      </c>
      <c r="J115" s="117">
        <v>0</v>
      </c>
      <c r="K115" s="118" t="e">
        <f>(J115*#REF!)</f>
        <v>#REF!</v>
      </c>
      <c r="L115" s="96"/>
      <c r="N115" s="105"/>
    </row>
    <row r="116" spans="2:14" s="104" customFormat="1" ht="52.5" customHeight="1">
      <c r="B116" s="196" t="s">
        <v>378</v>
      </c>
      <c r="C116" s="76" t="s">
        <v>242</v>
      </c>
      <c r="D116" s="251" t="s">
        <v>77</v>
      </c>
      <c r="E116" s="183">
        <v>89985</v>
      </c>
      <c r="F116" s="78">
        <v>2</v>
      </c>
      <c r="G116" s="79">
        <v>34.24</v>
      </c>
      <c r="H116" s="80">
        <f t="shared" si="30"/>
        <v>43.7</v>
      </c>
      <c r="I116" s="80">
        <f t="shared" ref="I116" si="39">TRUNC(H116*F116,2)</f>
        <v>87.4</v>
      </c>
      <c r="J116" s="117">
        <v>0</v>
      </c>
      <c r="K116" s="118" t="e">
        <f>(J116*#REF!)</f>
        <v>#REF!</v>
      </c>
      <c r="L116" s="96"/>
      <c r="N116" s="105"/>
    </row>
    <row r="117" spans="2:14" s="104" customFormat="1" ht="62.25" customHeight="1">
      <c r="B117" s="196" t="s">
        <v>379</v>
      </c>
      <c r="C117" s="76" t="s">
        <v>210</v>
      </c>
      <c r="D117" s="251" t="s">
        <v>77</v>
      </c>
      <c r="E117" s="183">
        <v>94794</v>
      </c>
      <c r="F117" s="78">
        <v>2</v>
      </c>
      <c r="G117" s="79">
        <v>73.62</v>
      </c>
      <c r="H117" s="80">
        <f t="shared" si="30"/>
        <v>93.96</v>
      </c>
      <c r="I117" s="80">
        <f t="shared" si="31"/>
        <v>187.92</v>
      </c>
      <c r="J117" s="117">
        <v>0</v>
      </c>
      <c r="K117" s="118" t="e">
        <f>(J117*#REF!)</f>
        <v>#REF!</v>
      </c>
      <c r="L117" s="96"/>
      <c r="N117" s="105"/>
    </row>
    <row r="118" spans="2:14" s="104" customFormat="1" ht="42" customHeight="1">
      <c r="B118" s="196" t="s">
        <v>380</v>
      </c>
      <c r="C118" s="76" t="s">
        <v>237</v>
      </c>
      <c r="D118" s="251" t="s">
        <v>77</v>
      </c>
      <c r="E118" s="183">
        <v>9535</v>
      </c>
      <c r="F118" s="78">
        <v>2</v>
      </c>
      <c r="G118" s="79">
        <v>64.69</v>
      </c>
      <c r="H118" s="80">
        <f t="shared" si="30"/>
        <v>82.56</v>
      </c>
      <c r="I118" s="80">
        <f t="shared" ref="I118" si="40">TRUNC(H118*F118,2)</f>
        <v>165.12</v>
      </c>
      <c r="J118" s="117">
        <v>0</v>
      </c>
      <c r="K118" s="118" t="e">
        <f>(J118*#REF!)</f>
        <v>#REF!</v>
      </c>
      <c r="L118" s="96"/>
      <c r="N118" s="105"/>
    </row>
    <row r="119" spans="2:14" s="104" customFormat="1" ht="72" customHeight="1">
      <c r="B119" s="196" t="s">
        <v>381</v>
      </c>
      <c r="C119" s="76" t="s">
        <v>205</v>
      </c>
      <c r="D119" s="78" t="s">
        <v>77</v>
      </c>
      <c r="E119" s="249">
        <v>93441</v>
      </c>
      <c r="F119" s="79">
        <v>1</v>
      </c>
      <c r="G119" s="79">
        <v>861.39</v>
      </c>
      <c r="H119" s="80">
        <f>TRUNC((G119*$H$15)+G119,2)</f>
        <v>1099.3900000000001</v>
      </c>
      <c r="I119" s="80">
        <f t="shared" si="31"/>
        <v>1099.3900000000001</v>
      </c>
      <c r="J119" s="117">
        <v>0</v>
      </c>
      <c r="K119" s="118" t="e">
        <f>(J119*#REF!)</f>
        <v>#REF!</v>
      </c>
      <c r="L119" s="96"/>
      <c r="N119" s="105"/>
    </row>
    <row r="120" spans="2:14" ht="18.75" customHeight="1">
      <c r="B120" s="393" t="s">
        <v>47</v>
      </c>
      <c r="C120" s="394"/>
      <c r="D120" s="251"/>
      <c r="E120" s="249"/>
      <c r="F120" s="78"/>
      <c r="G120" s="79"/>
      <c r="H120" s="80"/>
      <c r="I120" s="80"/>
      <c r="J120" s="113">
        <v>0</v>
      </c>
      <c r="K120" s="114" t="e">
        <f>(J120*#REF!)</f>
        <v>#REF!</v>
      </c>
      <c r="L120" s="70"/>
    </row>
    <row r="121" spans="2:14" s="104" customFormat="1" ht="46.5" customHeight="1">
      <c r="B121" s="196" t="s">
        <v>382</v>
      </c>
      <c r="C121" s="76" t="s">
        <v>206</v>
      </c>
      <c r="D121" s="251" t="s">
        <v>55</v>
      </c>
      <c r="E121" s="249">
        <v>89849</v>
      </c>
      <c r="F121" s="79">
        <v>5</v>
      </c>
      <c r="G121" s="79">
        <v>32.78</v>
      </c>
      <c r="H121" s="80">
        <f t="shared" ref="H121:H130" si="41">TRUNC(G121*$H$15+G121,2)</f>
        <v>41.83</v>
      </c>
      <c r="I121" s="80">
        <f t="shared" ref="I121" si="42">TRUNC(H121*F121,2)</f>
        <v>209.15</v>
      </c>
      <c r="J121" s="117">
        <v>1</v>
      </c>
      <c r="K121" s="118" t="e">
        <f>(J121*#REF!)</f>
        <v>#REF!</v>
      </c>
      <c r="L121" s="96"/>
      <c r="N121" s="105"/>
    </row>
    <row r="122" spans="2:14" s="104" customFormat="1" ht="46.5" customHeight="1">
      <c r="B122" s="196" t="s">
        <v>383</v>
      </c>
      <c r="C122" s="76" t="s">
        <v>94</v>
      </c>
      <c r="D122" s="251" t="s">
        <v>55</v>
      </c>
      <c r="E122" s="249">
        <v>89714</v>
      </c>
      <c r="F122" s="79">
        <v>43</v>
      </c>
      <c r="G122" s="79">
        <v>36.39</v>
      </c>
      <c r="H122" s="80">
        <f t="shared" si="41"/>
        <v>46.44</v>
      </c>
      <c r="I122" s="80">
        <f t="shared" si="31"/>
        <v>1996.92</v>
      </c>
      <c r="J122" s="117">
        <v>1</v>
      </c>
      <c r="K122" s="118" t="e">
        <f>(J122*#REF!)</f>
        <v>#REF!</v>
      </c>
      <c r="L122" s="96"/>
      <c r="N122" s="105"/>
    </row>
    <row r="123" spans="2:14" s="104" customFormat="1" ht="48" customHeight="1">
      <c r="B123" s="196" t="s">
        <v>384</v>
      </c>
      <c r="C123" s="76" t="s">
        <v>79</v>
      </c>
      <c r="D123" s="251" t="s">
        <v>55</v>
      </c>
      <c r="E123" s="249">
        <v>89712</v>
      </c>
      <c r="F123" s="79">
        <v>5.04</v>
      </c>
      <c r="G123" s="79">
        <v>18.75</v>
      </c>
      <c r="H123" s="80">
        <f t="shared" si="41"/>
        <v>23.93</v>
      </c>
      <c r="I123" s="80">
        <f t="shared" si="31"/>
        <v>120.6</v>
      </c>
      <c r="J123" s="117">
        <v>1</v>
      </c>
      <c r="K123" s="118" t="e">
        <f>(J123*#REF!)</f>
        <v>#REF!</v>
      </c>
      <c r="L123" s="96"/>
      <c r="N123" s="105"/>
    </row>
    <row r="124" spans="2:14" s="104" customFormat="1" ht="47.25" customHeight="1">
      <c r="B124" s="196" t="s">
        <v>385</v>
      </c>
      <c r="C124" s="76" t="s">
        <v>95</v>
      </c>
      <c r="D124" s="251" t="s">
        <v>55</v>
      </c>
      <c r="E124" s="249">
        <v>89711</v>
      </c>
      <c r="F124" s="79">
        <v>11.44</v>
      </c>
      <c r="G124" s="79">
        <v>12.76</v>
      </c>
      <c r="H124" s="80">
        <f t="shared" si="41"/>
        <v>16.28</v>
      </c>
      <c r="I124" s="80">
        <f t="shared" si="31"/>
        <v>186.24</v>
      </c>
      <c r="J124" s="117">
        <v>1</v>
      </c>
      <c r="K124" s="118" t="e">
        <f>(J124*#REF!)</f>
        <v>#REF!</v>
      </c>
      <c r="L124" s="96"/>
      <c r="N124" s="105"/>
    </row>
    <row r="125" spans="2:14" s="104" customFormat="1" ht="47.25" customHeight="1">
      <c r="B125" s="196" t="s">
        <v>386</v>
      </c>
      <c r="C125" s="76" t="s">
        <v>96</v>
      </c>
      <c r="D125" s="251" t="s">
        <v>77</v>
      </c>
      <c r="E125" s="249">
        <v>89728</v>
      </c>
      <c r="F125" s="79">
        <v>6</v>
      </c>
      <c r="G125" s="79">
        <v>7.31</v>
      </c>
      <c r="H125" s="80">
        <f t="shared" si="41"/>
        <v>9.32</v>
      </c>
      <c r="I125" s="80">
        <f t="shared" si="31"/>
        <v>55.92</v>
      </c>
      <c r="J125" s="117">
        <v>1</v>
      </c>
      <c r="K125" s="118" t="e">
        <f>(J125*#REF!)</f>
        <v>#REF!</v>
      </c>
      <c r="L125" s="96"/>
      <c r="N125" s="105"/>
    </row>
    <row r="126" spans="2:14" s="104" customFormat="1" ht="58.5" customHeight="1">
      <c r="B126" s="196" t="s">
        <v>387</v>
      </c>
      <c r="C126" s="76" t="s">
        <v>207</v>
      </c>
      <c r="D126" s="251" t="s">
        <v>77</v>
      </c>
      <c r="E126" s="249">
        <v>89744</v>
      </c>
      <c r="F126" s="79">
        <v>3</v>
      </c>
      <c r="G126" s="79">
        <v>16.34</v>
      </c>
      <c r="H126" s="80">
        <f t="shared" si="41"/>
        <v>20.85</v>
      </c>
      <c r="I126" s="80">
        <f t="shared" ref="I126" si="43">TRUNC(H126*F126,2)</f>
        <v>62.55</v>
      </c>
      <c r="J126" s="117">
        <v>1</v>
      </c>
      <c r="K126" s="118" t="e">
        <f>(J126*#REF!)</f>
        <v>#REF!</v>
      </c>
      <c r="L126" s="96"/>
      <c r="N126" s="105"/>
    </row>
    <row r="127" spans="2:14" s="104" customFormat="1" ht="55.5" customHeight="1">
      <c r="B127" s="196" t="s">
        <v>388</v>
      </c>
      <c r="C127" s="76" t="s">
        <v>230</v>
      </c>
      <c r="D127" s="251" t="s">
        <v>77</v>
      </c>
      <c r="E127" s="249">
        <v>89724</v>
      </c>
      <c r="F127" s="79">
        <v>6</v>
      </c>
      <c r="G127" s="79">
        <v>5.51</v>
      </c>
      <c r="H127" s="80">
        <f t="shared" si="41"/>
        <v>7.03</v>
      </c>
      <c r="I127" s="80">
        <f t="shared" ref="I127" si="44">TRUNC(H127*F127,2)</f>
        <v>42.18</v>
      </c>
      <c r="J127" s="117">
        <v>1</v>
      </c>
      <c r="K127" s="118" t="e">
        <f>(J127*#REF!)</f>
        <v>#REF!</v>
      </c>
      <c r="L127" s="96"/>
      <c r="N127" s="105"/>
    </row>
    <row r="128" spans="2:14" s="104" customFormat="1" ht="44.25" customHeight="1">
      <c r="B128" s="196" t="s">
        <v>389</v>
      </c>
      <c r="C128" s="76" t="s">
        <v>97</v>
      </c>
      <c r="D128" s="251" t="s">
        <v>77</v>
      </c>
      <c r="E128" s="249">
        <v>89726</v>
      </c>
      <c r="F128" s="79">
        <v>4</v>
      </c>
      <c r="G128" s="79">
        <v>6.24</v>
      </c>
      <c r="H128" s="80">
        <f t="shared" si="41"/>
        <v>7.96</v>
      </c>
      <c r="I128" s="80">
        <f t="shared" si="31"/>
        <v>31.84</v>
      </c>
      <c r="J128" s="117">
        <v>1</v>
      </c>
      <c r="K128" s="118" t="e">
        <f>(J128*#REF!)</f>
        <v>#REF!</v>
      </c>
      <c r="L128" s="96"/>
      <c r="N128" s="105"/>
    </row>
    <row r="129" spans="1:14" s="104" customFormat="1" ht="47.25" customHeight="1">
      <c r="B129" s="196" t="s">
        <v>390</v>
      </c>
      <c r="C129" s="76" t="s">
        <v>251</v>
      </c>
      <c r="D129" s="251" t="s">
        <v>77</v>
      </c>
      <c r="E129" s="183">
        <v>89482</v>
      </c>
      <c r="F129" s="79">
        <v>3</v>
      </c>
      <c r="G129" s="79">
        <v>17.02</v>
      </c>
      <c r="H129" s="80">
        <f t="shared" si="41"/>
        <v>21.72</v>
      </c>
      <c r="I129" s="80">
        <f t="shared" ref="I129" si="45">TRUNC(H129*F129,2)</f>
        <v>65.16</v>
      </c>
      <c r="J129" s="117">
        <v>1</v>
      </c>
      <c r="K129" s="118" t="e">
        <f>(J129*#REF!)</f>
        <v>#REF!</v>
      </c>
      <c r="L129" s="96"/>
      <c r="N129" s="105"/>
    </row>
    <row r="130" spans="1:14" s="104" customFormat="1" ht="36" customHeight="1">
      <c r="B130" s="196" t="s">
        <v>391</v>
      </c>
      <c r="C130" s="76" t="s">
        <v>214</v>
      </c>
      <c r="D130" s="251" t="s">
        <v>77</v>
      </c>
      <c r="E130" s="249">
        <v>40729</v>
      </c>
      <c r="F130" s="78">
        <v>2</v>
      </c>
      <c r="G130" s="79">
        <v>171.28</v>
      </c>
      <c r="H130" s="80">
        <f t="shared" si="41"/>
        <v>218.6</v>
      </c>
      <c r="I130" s="80">
        <f t="shared" ref="I130:I134" si="46">TRUNC(H130*F130,2)</f>
        <v>437.2</v>
      </c>
      <c r="J130" s="117">
        <v>0</v>
      </c>
      <c r="K130" s="118" t="e">
        <f>(J130*#REF!)</f>
        <v>#REF!</v>
      </c>
      <c r="L130" s="96"/>
      <c r="N130" s="105"/>
    </row>
    <row r="131" spans="1:14" s="104" customFormat="1" ht="48" customHeight="1">
      <c r="B131" s="196" t="s">
        <v>392</v>
      </c>
      <c r="C131" s="76" t="s">
        <v>279</v>
      </c>
      <c r="D131" s="78" t="s">
        <v>77</v>
      </c>
      <c r="E131" s="252">
        <v>95470</v>
      </c>
      <c r="F131" s="79">
        <v>2</v>
      </c>
      <c r="G131" s="79">
        <v>166.34</v>
      </c>
      <c r="H131" s="80">
        <f t="shared" ref="H131:H139" si="47">TRUNC((G131*$H$15)+G131,2)</f>
        <v>212.29</v>
      </c>
      <c r="I131" s="80">
        <f t="shared" ref="I131" si="48">TRUNC(H131*F131,2)</f>
        <v>424.58</v>
      </c>
      <c r="J131" s="117">
        <v>0</v>
      </c>
      <c r="K131" s="118" t="e">
        <f>(J131*#REF!)</f>
        <v>#REF!</v>
      </c>
      <c r="L131" s="96"/>
      <c r="N131" s="105"/>
    </row>
    <row r="132" spans="1:14" s="104" customFormat="1" ht="63" customHeight="1">
      <c r="B132" s="196" t="s">
        <v>393</v>
      </c>
      <c r="C132" s="76" t="s">
        <v>280</v>
      </c>
      <c r="D132" s="78" t="s">
        <v>77</v>
      </c>
      <c r="E132" s="252">
        <v>86941</v>
      </c>
      <c r="F132" s="79">
        <v>2</v>
      </c>
      <c r="G132" s="79">
        <v>534.24</v>
      </c>
      <c r="H132" s="80">
        <f t="shared" si="47"/>
        <v>681.85</v>
      </c>
      <c r="I132" s="80">
        <f t="shared" ref="I132" si="49">TRUNC(H132*F132,2)</f>
        <v>1363.7</v>
      </c>
      <c r="J132" s="117">
        <v>0</v>
      </c>
      <c r="K132" s="118" t="e">
        <f>(J132*#REF!)</f>
        <v>#REF!</v>
      </c>
      <c r="L132" s="96"/>
      <c r="N132" s="105"/>
    </row>
    <row r="133" spans="1:14" s="104" customFormat="1" ht="57" customHeight="1">
      <c r="B133" s="196" t="s">
        <v>394</v>
      </c>
      <c r="C133" s="76" t="s">
        <v>203</v>
      </c>
      <c r="D133" s="78" t="s">
        <v>77</v>
      </c>
      <c r="E133" s="249">
        <v>86919</v>
      </c>
      <c r="F133" s="79">
        <v>1</v>
      </c>
      <c r="G133" s="79">
        <v>643.99</v>
      </c>
      <c r="H133" s="80">
        <f t="shared" si="47"/>
        <v>821.92</v>
      </c>
      <c r="I133" s="80">
        <f t="shared" si="46"/>
        <v>821.92</v>
      </c>
      <c r="J133" s="117">
        <v>0</v>
      </c>
      <c r="K133" s="118" t="e">
        <f>(J133*#REF!)</f>
        <v>#REF!</v>
      </c>
      <c r="L133" s="96"/>
      <c r="N133" s="105"/>
    </row>
    <row r="134" spans="1:14" s="104" customFormat="1" ht="45" customHeight="1">
      <c r="B134" s="196" t="s">
        <v>395</v>
      </c>
      <c r="C134" s="76" t="s">
        <v>278</v>
      </c>
      <c r="D134" s="78" t="s">
        <v>77</v>
      </c>
      <c r="E134" s="249">
        <v>95546</v>
      </c>
      <c r="F134" s="79">
        <v>2</v>
      </c>
      <c r="G134" s="79">
        <v>137.81</v>
      </c>
      <c r="H134" s="80">
        <f t="shared" si="47"/>
        <v>175.88</v>
      </c>
      <c r="I134" s="80">
        <f t="shared" si="46"/>
        <v>351.76</v>
      </c>
      <c r="J134" s="117">
        <v>0</v>
      </c>
      <c r="K134" s="118" t="e">
        <f>(J134*#REF!)</f>
        <v>#REF!</v>
      </c>
      <c r="L134" s="96"/>
      <c r="N134" s="105"/>
    </row>
    <row r="135" spans="1:14" s="104" customFormat="1" ht="42" customHeight="1">
      <c r="B135" s="196" t="s">
        <v>396</v>
      </c>
      <c r="C135" s="76" t="s">
        <v>138</v>
      </c>
      <c r="D135" s="78" t="s">
        <v>77</v>
      </c>
      <c r="E135" s="250" t="s">
        <v>137</v>
      </c>
      <c r="F135" s="79">
        <v>5</v>
      </c>
      <c r="G135" s="79">
        <v>173.32</v>
      </c>
      <c r="H135" s="80">
        <f t="shared" si="47"/>
        <v>221.2</v>
      </c>
      <c r="I135" s="80">
        <f t="shared" si="31"/>
        <v>1106</v>
      </c>
      <c r="J135" s="117">
        <v>0</v>
      </c>
      <c r="K135" s="118" t="e">
        <f>(J135*#REF!)</f>
        <v>#REF!</v>
      </c>
      <c r="L135" s="96"/>
      <c r="N135" s="105"/>
    </row>
    <row r="136" spans="1:14" s="104" customFormat="1" ht="42" customHeight="1">
      <c r="B136" s="196" t="s">
        <v>397</v>
      </c>
      <c r="C136" s="76" t="s">
        <v>286</v>
      </c>
      <c r="D136" s="78" t="s">
        <v>77</v>
      </c>
      <c r="E136" s="250">
        <v>98103</v>
      </c>
      <c r="F136" s="79">
        <v>1</v>
      </c>
      <c r="G136" s="79">
        <v>119.62</v>
      </c>
      <c r="H136" s="80">
        <f t="shared" si="47"/>
        <v>152.66999999999999</v>
      </c>
      <c r="I136" s="80">
        <f t="shared" ref="I136" si="50">TRUNC(H136*F136,2)</f>
        <v>152.66999999999999</v>
      </c>
      <c r="J136" s="117">
        <v>0</v>
      </c>
      <c r="K136" s="118" t="e">
        <f>(J136*#REF!)</f>
        <v>#REF!</v>
      </c>
      <c r="L136" s="96"/>
      <c r="N136" s="105"/>
    </row>
    <row r="137" spans="1:14" s="104" customFormat="1" ht="54" customHeight="1">
      <c r="B137" s="196" t="s">
        <v>398</v>
      </c>
      <c r="C137" s="76" t="s">
        <v>287</v>
      </c>
      <c r="D137" s="78" t="s">
        <v>77</v>
      </c>
      <c r="E137" s="249">
        <v>98052</v>
      </c>
      <c r="F137" s="79">
        <v>1</v>
      </c>
      <c r="G137" s="79">
        <v>996.63</v>
      </c>
      <c r="H137" s="80">
        <f t="shared" si="47"/>
        <v>1271.99</v>
      </c>
      <c r="I137" s="80">
        <f t="shared" si="31"/>
        <v>1271.99</v>
      </c>
      <c r="J137" s="117"/>
      <c r="K137" s="118"/>
      <c r="L137" s="96"/>
      <c r="N137" s="105"/>
    </row>
    <row r="138" spans="1:14" s="104" customFormat="1" ht="47.25" customHeight="1">
      <c r="A138" s="230"/>
      <c r="B138" s="196" t="s">
        <v>399</v>
      </c>
      <c r="C138" s="287" t="s">
        <v>288</v>
      </c>
      <c r="D138" s="78" t="s">
        <v>77</v>
      </c>
      <c r="E138" s="249">
        <v>98088</v>
      </c>
      <c r="F138" s="79">
        <v>1</v>
      </c>
      <c r="G138" s="79">
        <v>2295.62</v>
      </c>
      <c r="H138" s="80">
        <f t="shared" si="47"/>
        <v>2929.89</v>
      </c>
      <c r="I138" s="80">
        <f t="shared" si="31"/>
        <v>2929.89</v>
      </c>
      <c r="J138" s="117"/>
      <c r="K138" s="118"/>
      <c r="L138" s="96"/>
      <c r="N138" s="105"/>
    </row>
    <row r="139" spans="1:14" s="104" customFormat="1" ht="36" customHeight="1">
      <c r="B139" s="196" t="s">
        <v>400</v>
      </c>
      <c r="C139" s="287" t="s">
        <v>407</v>
      </c>
      <c r="D139" s="78" t="s">
        <v>77</v>
      </c>
      <c r="E139" s="250" t="s">
        <v>305</v>
      </c>
      <c r="F139" s="79">
        <v>1</v>
      </c>
      <c r="G139" s="79">
        <v>1217</v>
      </c>
      <c r="H139" s="80">
        <f t="shared" si="47"/>
        <v>1553.25</v>
      </c>
      <c r="I139" s="80">
        <f t="shared" si="31"/>
        <v>1553.25</v>
      </c>
      <c r="J139" s="117">
        <v>0</v>
      </c>
      <c r="K139" s="118" t="e">
        <f>(J139*#REF!)</f>
        <v>#REF!</v>
      </c>
      <c r="L139" s="96"/>
      <c r="N139" s="105"/>
    </row>
    <row r="140" spans="1:14" s="1" customFormat="1" ht="12.75" customHeight="1">
      <c r="B140" s="325" t="s">
        <v>6</v>
      </c>
      <c r="C140" s="326"/>
      <c r="D140" s="326"/>
      <c r="E140" s="326"/>
      <c r="F140" s="348"/>
      <c r="G140" s="323">
        <f>(100%)</f>
        <v>1</v>
      </c>
      <c r="H140" s="324"/>
      <c r="I140" s="197">
        <f>SUM(I90:I139)</f>
        <v>18109.47</v>
      </c>
      <c r="J140" s="115" t="e">
        <f>(K140/#REF!)</f>
        <v>#REF!</v>
      </c>
      <c r="K140" s="116" t="e">
        <f>SUM(K109:K139)</f>
        <v>#REF!</v>
      </c>
      <c r="L140" s="71"/>
      <c r="N140" s="6"/>
    </row>
    <row r="141" spans="1:14" s="104" customFormat="1" ht="16.5" customHeight="1">
      <c r="B141" s="195">
        <v>14</v>
      </c>
      <c r="C141" s="21" t="s">
        <v>52</v>
      </c>
      <c r="D141" s="321"/>
      <c r="E141" s="321"/>
      <c r="F141" s="321"/>
      <c r="G141" s="321"/>
      <c r="H141" s="321"/>
      <c r="I141" s="322"/>
      <c r="J141" s="96"/>
      <c r="K141" s="96"/>
      <c r="L141" s="103"/>
      <c r="N141" s="105"/>
    </row>
    <row r="142" spans="1:14" s="104" customFormat="1" ht="51" customHeight="1">
      <c r="B142" s="196" t="s">
        <v>258</v>
      </c>
      <c r="C142" s="76" t="s">
        <v>218</v>
      </c>
      <c r="D142" s="251" t="s">
        <v>77</v>
      </c>
      <c r="E142" s="249">
        <v>97888</v>
      </c>
      <c r="F142" s="78">
        <v>2</v>
      </c>
      <c r="G142" s="79">
        <v>350.97</v>
      </c>
      <c r="H142" s="80">
        <f t="shared" ref="H142:H165" si="51">TRUNC((G142*$H$15)+G142,2)</f>
        <v>447.94</v>
      </c>
      <c r="I142" s="80">
        <f>TRUNC(H142*F142,2)</f>
        <v>895.88</v>
      </c>
      <c r="J142" s="117">
        <v>0</v>
      </c>
      <c r="K142" s="118" t="e">
        <f>(J142*#REF!)</f>
        <v>#REF!</v>
      </c>
      <c r="L142" s="96"/>
      <c r="N142" s="105"/>
    </row>
    <row r="143" spans="1:14" s="104" customFormat="1" ht="38.25">
      <c r="B143" s="196" t="s">
        <v>259</v>
      </c>
      <c r="C143" s="76" t="s">
        <v>127</v>
      </c>
      <c r="D143" s="251" t="s">
        <v>55</v>
      </c>
      <c r="E143" s="249">
        <v>91927</v>
      </c>
      <c r="F143" s="78">
        <v>341</v>
      </c>
      <c r="G143" s="79">
        <v>3.23</v>
      </c>
      <c r="H143" s="80">
        <f t="shared" si="51"/>
        <v>4.12</v>
      </c>
      <c r="I143" s="80">
        <f>TRUNC(H143*F143,2)</f>
        <v>1404.92</v>
      </c>
      <c r="J143" s="117">
        <v>0</v>
      </c>
      <c r="K143" s="118" t="e">
        <f>(J143*#REF!)</f>
        <v>#REF!</v>
      </c>
      <c r="L143" s="96"/>
      <c r="N143" s="105"/>
    </row>
    <row r="144" spans="1:14" s="104" customFormat="1" ht="48" customHeight="1">
      <c r="B144" s="196" t="s">
        <v>131</v>
      </c>
      <c r="C144" s="76" t="s">
        <v>290</v>
      </c>
      <c r="D144" s="251" t="s">
        <v>55</v>
      </c>
      <c r="E144" s="249">
        <v>91929</v>
      </c>
      <c r="F144" s="78">
        <v>35.4</v>
      </c>
      <c r="G144" s="79">
        <v>4.53</v>
      </c>
      <c r="H144" s="80">
        <f t="shared" si="51"/>
        <v>5.78</v>
      </c>
      <c r="I144" s="80">
        <f t="shared" ref="I144" si="52">TRUNC(H144*F144,2)</f>
        <v>204.61</v>
      </c>
      <c r="J144" s="117"/>
      <c r="K144" s="118"/>
      <c r="L144" s="96"/>
      <c r="N144" s="105"/>
    </row>
    <row r="145" spans="2:14" s="104" customFormat="1" ht="48" customHeight="1">
      <c r="B145" s="196" t="s">
        <v>132</v>
      </c>
      <c r="C145" s="76" t="s">
        <v>246</v>
      </c>
      <c r="D145" s="251" t="s">
        <v>55</v>
      </c>
      <c r="E145" s="249">
        <v>91933</v>
      </c>
      <c r="F145" s="78">
        <v>66.900000000000006</v>
      </c>
      <c r="G145" s="79">
        <v>9.57</v>
      </c>
      <c r="H145" s="80">
        <f t="shared" si="51"/>
        <v>12.21</v>
      </c>
      <c r="I145" s="80">
        <f t="shared" ref="I145" si="53">TRUNC(H145*F145,2)</f>
        <v>816.84</v>
      </c>
      <c r="J145" s="117"/>
      <c r="K145" s="118"/>
      <c r="L145" s="96"/>
      <c r="N145" s="105"/>
    </row>
    <row r="146" spans="2:14" s="104" customFormat="1" ht="42" customHeight="1">
      <c r="B146" s="196" t="s">
        <v>133</v>
      </c>
      <c r="C146" s="76" t="s">
        <v>252</v>
      </c>
      <c r="D146" s="251" t="s">
        <v>77</v>
      </c>
      <c r="E146" s="249">
        <v>91937</v>
      </c>
      <c r="F146" s="78">
        <v>8</v>
      </c>
      <c r="G146" s="79">
        <v>7.59</v>
      </c>
      <c r="H146" s="80">
        <f t="shared" si="51"/>
        <v>9.68</v>
      </c>
      <c r="I146" s="80">
        <f t="shared" ref="I146:I165" si="54">TRUNC(H146*F146,2)</f>
        <v>77.44</v>
      </c>
      <c r="J146" s="117">
        <v>0</v>
      </c>
      <c r="K146" s="118" t="e">
        <f>(J146*#REF!)</f>
        <v>#REF!</v>
      </c>
      <c r="L146" s="96"/>
      <c r="N146" s="105"/>
    </row>
    <row r="147" spans="2:14" s="104" customFormat="1" ht="33.75" customHeight="1">
      <c r="B147" s="196" t="s">
        <v>320</v>
      </c>
      <c r="C147" s="76" t="s">
        <v>90</v>
      </c>
      <c r="D147" s="251" t="s">
        <v>77</v>
      </c>
      <c r="E147" s="249">
        <v>91940</v>
      </c>
      <c r="F147" s="78">
        <v>13</v>
      </c>
      <c r="G147" s="79">
        <v>10.029999999999999</v>
      </c>
      <c r="H147" s="80">
        <f t="shared" si="51"/>
        <v>12.8</v>
      </c>
      <c r="I147" s="80">
        <f t="shared" si="54"/>
        <v>166.4</v>
      </c>
      <c r="J147" s="117">
        <v>0</v>
      </c>
      <c r="K147" s="118" t="e">
        <f>(J147*#REF!)</f>
        <v>#REF!</v>
      </c>
      <c r="L147" s="96"/>
      <c r="N147" s="105"/>
    </row>
    <row r="148" spans="2:14" s="104" customFormat="1" ht="48.75" customHeight="1">
      <c r="B148" s="196" t="s">
        <v>321</v>
      </c>
      <c r="C148" s="76" t="s">
        <v>291</v>
      </c>
      <c r="D148" s="251" t="s">
        <v>77</v>
      </c>
      <c r="E148" s="249">
        <v>91941</v>
      </c>
      <c r="F148" s="78">
        <v>8</v>
      </c>
      <c r="G148" s="79">
        <v>6.72</v>
      </c>
      <c r="H148" s="80">
        <f t="shared" si="51"/>
        <v>8.57</v>
      </c>
      <c r="I148" s="80">
        <f t="shared" ref="I148" si="55">TRUNC(H148*F148,2)</f>
        <v>68.56</v>
      </c>
      <c r="J148" s="117">
        <v>0</v>
      </c>
      <c r="K148" s="118" t="e">
        <f>(J148*#REF!)</f>
        <v>#REF!</v>
      </c>
      <c r="L148" s="96"/>
      <c r="N148" s="105"/>
    </row>
    <row r="149" spans="2:14" s="104" customFormat="1" ht="51" customHeight="1">
      <c r="B149" s="196" t="s">
        <v>322</v>
      </c>
      <c r="C149" s="76" t="s">
        <v>254</v>
      </c>
      <c r="D149" s="251" t="s">
        <v>77</v>
      </c>
      <c r="E149" s="249">
        <v>91939</v>
      </c>
      <c r="F149" s="78">
        <v>4</v>
      </c>
      <c r="G149" s="79">
        <v>18.84</v>
      </c>
      <c r="H149" s="80">
        <f t="shared" si="51"/>
        <v>24.04</v>
      </c>
      <c r="I149" s="80">
        <f t="shared" si="54"/>
        <v>96.16</v>
      </c>
      <c r="J149" s="117">
        <v>0</v>
      </c>
      <c r="K149" s="118" t="e">
        <f>(J149*#REF!)</f>
        <v>#REF!</v>
      </c>
      <c r="L149" s="96"/>
      <c r="N149" s="105"/>
    </row>
    <row r="150" spans="2:14" s="104" customFormat="1" ht="36" customHeight="1">
      <c r="B150" s="196" t="s">
        <v>323</v>
      </c>
      <c r="C150" s="76" t="s">
        <v>253</v>
      </c>
      <c r="D150" s="251" t="s">
        <v>77</v>
      </c>
      <c r="E150" s="249">
        <v>91993</v>
      </c>
      <c r="F150" s="78">
        <v>2</v>
      </c>
      <c r="G150" s="79">
        <v>26.63</v>
      </c>
      <c r="H150" s="80">
        <f t="shared" si="51"/>
        <v>33.979999999999997</v>
      </c>
      <c r="I150" s="80">
        <f t="shared" ref="I150:I151" si="56">TRUNC(H150*F150,2)</f>
        <v>67.959999999999994</v>
      </c>
      <c r="J150" s="117">
        <v>0</v>
      </c>
      <c r="K150" s="118" t="e">
        <f>(J150*#REF!)</f>
        <v>#REF!</v>
      </c>
      <c r="L150" s="96"/>
      <c r="N150" s="105"/>
    </row>
    <row r="151" spans="2:14" s="104" customFormat="1" ht="33.75" customHeight="1">
      <c r="B151" s="196" t="s">
        <v>324</v>
      </c>
      <c r="C151" s="76" t="s">
        <v>293</v>
      </c>
      <c r="D151" s="251" t="s">
        <v>77</v>
      </c>
      <c r="E151" s="249">
        <v>91996</v>
      </c>
      <c r="F151" s="78">
        <v>7</v>
      </c>
      <c r="G151" s="79">
        <v>19.29</v>
      </c>
      <c r="H151" s="80">
        <f t="shared" si="51"/>
        <v>24.61</v>
      </c>
      <c r="I151" s="80">
        <f t="shared" si="56"/>
        <v>172.27</v>
      </c>
      <c r="J151" s="117">
        <v>0</v>
      </c>
      <c r="K151" s="118" t="e">
        <f>(J151*#REF!)</f>
        <v>#REF!</v>
      </c>
      <c r="L151" s="96"/>
      <c r="N151" s="105"/>
    </row>
    <row r="152" spans="2:14" s="104" customFormat="1" ht="39" customHeight="1">
      <c r="B152" s="196" t="s">
        <v>325</v>
      </c>
      <c r="C152" s="76" t="s">
        <v>292</v>
      </c>
      <c r="D152" s="251" t="s">
        <v>77</v>
      </c>
      <c r="E152" s="249">
        <v>92000</v>
      </c>
      <c r="F152" s="78">
        <v>8</v>
      </c>
      <c r="G152" s="79">
        <v>16.920000000000002</v>
      </c>
      <c r="H152" s="80">
        <f t="shared" si="51"/>
        <v>21.59</v>
      </c>
      <c r="I152" s="80">
        <f t="shared" ref="I152" si="57">TRUNC(H152*F152,2)</f>
        <v>172.72</v>
      </c>
      <c r="J152" s="117">
        <v>0</v>
      </c>
      <c r="K152" s="118" t="e">
        <f>(J152*#REF!)</f>
        <v>#REF!</v>
      </c>
      <c r="L152" s="96"/>
      <c r="N152" s="105"/>
    </row>
    <row r="153" spans="2:14" s="104" customFormat="1" ht="38.25" customHeight="1">
      <c r="B153" s="196" t="s">
        <v>326</v>
      </c>
      <c r="C153" s="76" t="s">
        <v>296</v>
      </c>
      <c r="D153" s="251" t="s">
        <v>77</v>
      </c>
      <c r="E153" s="183" t="s">
        <v>295</v>
      </c>
      <c r="F153" s="78">
        <v>2</v>
      </c>
      <c r="G153" s="79">
        <v>4.45</v>
      </c>
      <c r="H153" s="80">
        <f t="shared" si="51"/>
        <v>5.67</v>
      </c>
      <c r="I153" s="80">
        <f t="shared" ref="I153" si="58">TRUNC(H153*F153,2)</f>
        <v>11.34</v>
      </c>
      <c r="J153" s="117">
        <v>0</v>
      </c>
      <c r="K153" s="118" t="e">
        <f>(J153*#REF!)</f>
        <v>#REF!</v>
      </c>
      <c r="L153" s="96"/>
      <c r="N153" s="105"/>
    </row>
    <row r="154" spans="2:14" s="104" customFormat="1" ht="45" customHeight="1">
      <c r="B154" s="196" t="s">
        <v>327</v>
      </c>
      <c r="C154" s="76" t="s">
        <v>294</v>
      </c>
      <c r="D154" s="251" t="s">
        <v>77</v>
      </c>
      <c r="E154" s="249">
        <v>91953</v>
      </c>
      <c r="F154" s="78">
        <v>5</v>
      </c>
      <c r="G154" s="79">
        <v>16.04</v>
      </c>
      <c r="H154" s="80">
        <f t="shared" si="51"/>
        <v>20.47</v>
      </c>
      <c r="I154" s="80">
        <f t="shared" si="54"/>
        <v>102.35</v>
      </c>
      <c r="J154" s="117">
        <v>0</v>
      </c>
      <c r="K154" s="118" t="e">
        <f>(J154*#REF!)</f>
        <v>#REF!</v>
      </c>
      <c r="L154" s="96"/>
      <c r="N154" s="105"/>
    </row>
    <row r="155" spans="2:14" s="104" customFormat="1" ht="45" customHeight="1">
      <c r="B155" s="196" t="s">
        <v>328</v>
      </c>
      <c r="C155" s="76" t="s">
        <v>91</v>
      </c>
      <c r="D155" s="251" t="s">
        <v>77</v>
      </c>
      <c r="E155" s="249">
        <v>91959</v>
      </c>
      <c r="F155" s="78">
        <v>1</v>
      </c>
      <c r="G155" s="79">
        <v>25.35</v>
      </c>
      <c r="H155" s="80">
        <f t="shared" si="51"/>
        <v>32.35</v>
      </c>
      <c r="I155" s="80">
        <f t="shared" ref="I155" si="59">TRUNC(H155*F155,2)</f>
        <v>32.35</v>
      </c>
      <c r="J155" s="117">
        <v>0</v>
      </c>
      <c r="K155" s="118" t="e">
        <f>(J155*#REF!)</f>
        <v>#REF!</v>
      </c>
      <c r="L155" s="96"/>
      <c r="N155" s="105"/>
    </row>
    <row r="156" spans="2:14" s="104" customFormat="1" ht="36.75" customHeight="1">
      <c r="B156" s="196" t="s">
        <v>329</v>
      </c>
      <c r="C156" s="76" t="s">
        <v>217</v>
      </c>
      <c r="D156" s="251" t="s">
        <v>77</v>
      </c>
      <c r="E156" s="249">
        <v>93653</v>
      </c>
      <c r="F156" s="78">
        <v>6</v>
      </c>
      <c r="G156" s="79">
        <v>8.24</v>
      </c>
      <c r="H156" s="80">
        <f t="shared" si="51"/>
        <v>10.51</v>
      </c>
      <c r="I156" s="80">
        <f t="shared" ref="I156" si="60">TRUNC(H156*F156,2)</f>
        <v>63.06</v>
      </c>
      <c r="J156" s="117">
        <v>0</v>
      </c>
      <c r="K156" s="118" t="e">
        <f>(J156*#REF!)</f>
        <v>#REF!</v>
      </c>
      <c r="L156" s="96"/>
      <c r="N156" s="105"/>
    </row>
    <row r="157" spans="2:14" s="104" customFormat="1" ht="45.75" customHeight="1">
      <c r="B157" s="196" t="s">
        <v>330</v>
      </c>
      <c r="C157" s="76" t="s">
        <v>255</v>
      </c>
      <c r="D157" s="251" t="s">
        <v>77</v>
      </c>
      <c r="E157" s="249">
        <v>93659</v>
      </c>
      <c r="F157" s="78">
        <v>2</v>
      </c>
      <c r="G157" s="79">
        <v>16.940000000000001</v>
      </c>
      <c r="H157" s="80">
        <f t="shared" si="51"/>
        <v>21.62</v>
      </c>
      <c r="I157" s="80">
        <f t="shared" ref="I157" si="61">TRUNC(H157*F157,2)</f>
        <v>43.24</v>
      </c>
      <c r="J157" s="117">
        <v>0</v>
      </c>
      <c r="K157" s="118" t="e">
        <f>(J157*#REF!)</f>
        <v>#REF!</v>
      </c>
      <c r="L157" s="96"/>
      <c r="N157" s="105"/>
    </row>
    <row r="158" spans="2:14" s="104" customFormat="1" ht="45.75" customHeight="1">
      <c r="B158" s="196" t="s">
        <v>331</v>
      </c>
      <c r="C158" s="76" t="s">
        <v>260</v>
      </c>
      <c r="D158" s="251" t="s">
        <v>77</v>
      </c>
      <c r="E158" s="249">
        <v>93666</v>
      </c>
      <c r="F158" s="78">
        <v>2</v>
      </c>
      <c r="G158" s="79">
        <v>51.56</v>
      </c>
      <c r="H158" s="80">
        <f t="shared" si="51"/>
        <v>65.8</v>
      </c>
      <c r="I158" s="80">
        <f t="shared" ref="I158" si="62">TRUNC(H158*F158,2)</f>
        <v>131.6</v>
      </c>
      <c r="J158" s="117">
        <v>0</v>
      </c>
      <c r="K158" s="118" t="e">
        <f>(J158*#REF!)</f>
        <v>#REF!</v>
      </c>
      <c r="L158" s="96"/>
      <c r="N158" s="105"/>
    </row>
    <row r="159" spans="2:14" s="15" customFormat="1" ht="25.5">
      <c r="B159" s="196" t="s">
        <v>332</v>
      </c>
      <c r="C159" s="76" t="s">
        <v>306</v>
      </c>
      <c r="D159" s="251" t="s">
        <v>77</v>
      </c>
      <c r="E159" s="183" t="s">
        <v>225</v>
      </c>
      <c r="F159" s="78">
        <v>3</v>
      </c>
      <c r="G159" s="79">
        <v>59.15</v>
      </c>
      <c r="H159" s="80">
        <f t="shared" si="51"/>
        <v>75.489999999999995</v>
      </c>
      <c r="I159" s="80">
        <f t="shared" si="54"/>
        <v>226.47</v>
      </c>
      <c r="J159" s="120"/>
      <c r="K159" s="121"/>
      <c r="L159" s="84"/>
      <c r="N159" s="16"/>
    </row>
    <row r="160" spans="2:14" s="15" customFormat="1" ht="25.5">
      <c r="B160" s="196" t="s">
        <v>333</v>
      </c>
      <c r="C160" s="76" t="s">
        <v>128</v>
      </c>
      <c r="D160" s="251" t="s">
        <v>77</v>
      </c>
      <c r="E160" s="183" t="s">
        <v>308</v>
      </c>
      <c r="F160" s="78">
        <v>1</v>
      </c>
      <c r="G160" s="79">
        <v>130.13999999999999</v>
      </c>
      <c r="H160" s="80">
        <f t="shared" si="51"/>
        <v>166.09</v>
      </c>
      <c r="I160" s="80">
        <f t="shared" si="54"/>
        <v>166.09</v>
      </c>
      <c r="J160" s="272">
        <v>0</v>
      </c>
      <c r="K160" s="273" t="e">
        <f>(J160*#REF!)</f>
        <v>#REF!</v>
      </c>
      <c r="L160" s="77"/>
      <c r="N160" s="16"/>
    </row>
    <row r="161" spans="2:14" s="104" customFormat="1" ht="45" customHeight="1">
      <c r="B161" s="196" t="s">
        <v>334</v>
      </c>
      <c r="C161" s="76" t="s">
        <v>257</v>
      </c>
      <c r="D161" s="251" t="s">
        <v>55</v>
      </c>
      <c r="E161" s="249">
        <v>91854</v>
      </c>
      <c r="F161" s="78">
        <v>119.9</v>
      </c>
      <c r="G161" s="79">
        <v>5.75</v>
      </c>
      <c r="H161" s="80">
        <f t="shared" si="51"/>
        <v>7.33</v>
      </c>
      <c r="I161" s="80">
        <f t="shared" si="54"/>
        <v>878.86</v>
      </c>
      <c r="J161" s="117">
        <v>0</v>
      </c>
      <c r="K161" s="118" t="e">
        <f>(J161*#REF!)</f>
        <v>#REF!</v>
      </c>
      <c r="L161" s="96"/>
      <c r="N161" s="105"/>
    </row>
    <row r="162" spans="2:14" s="104" customFormat="1" ht="42" customHeight="1">
      <c r="B162" s="196" t="s">
        <v>335</v>
      </c>
      <c r="C162" s="76" t="s">
        <v>256</v>
      </c>
      <c r="D162" s="251" t="s">
        <v>55</v>
      </c>
      <c r="E162" s="249">
        <v>91856</v>
      </c>
      <c r="F162" s="78">
        <v>7.1</v>
      </c>
      <c r="G162" s="79">
        <v>7.19</v>
      </c>
      <c r="H162" s="80">
        <f t="shared" si="51"/>
        <v>9.17</v>
      </c>
      <c r="I162" s="80">
        <f t="shared" ref="I162" si="63">TRUNC(H162*F162,2)</f>
        <v>65.099999999999994</v>
      </c>
      <c r="J162" s="117">
        <v>0</v>
      </c>
      <c r="K162" s="118" t="e">
        <f>(J162*#REF!)</f>
        <v>#REF!</v>
      </c>
      <c r="L162" s="96"/>
      <c r="N162" s="105"/>
    </row>
    <row r="163" spans="2:14" s="104" customFormat="1" ht="45.75" customHeight="1">
      <c r="B163" s="196" t="s">
        <v>336</v>
      </c>
      <c r="C163" s="76" t="s">
        <v>129</v>
      </c>
      <c r="D163" s="251" t="s">
        <v>55</v>
      </c>
      <c r="E163" s="249" t="s">
        <v>130</v>
      </c>
      <c r="F163" s="78">
        <v>11.4</v>
      </c>
      <c r="G163" s="79">
        <v>20.04</v>
      </c>
      <c r="H163" s="80">
        <f t="shared" si="51"/>
        <v>25.57</v>
      </c>
      <c r="I163" s="80">
        <f t="shared" si="54"/>
        <v>291.49</v>
      </c>
      <c r="J163" s="117"/>
      <c r="K163" s="118"/>
      <c r="L163" s="96"/>
      <c r="N163" s="105"/>
    </row>
    <row r="164" spans="2:14" s="104" customFormat="1" ht="29.25" customHeight="1">
      <c r="B164" s="196" t="s">
        <v>337</v>
      </c>
      <c r="C164" s="76" t="s">
        <v>297</v>
      </c>
      <c r="D164" s="251" t="s">
        <v>77</v>
      </c>
      <c r="E164" s="183">
        <v>97592</v>
      </c>
      <c r="F164" s="78">
        <v>8</v>
      </c>
      <c r="G164" s="79">
        <v>83.9</v>
      </c>
      <c r="H164" s="80">
        <f t="shared" si="51"/>
        <v>107.08</v>
      </c>
      <c r="I164" s="80">
        <f t="shared" si="54"/>
        <v>856.64</v>
      </c>
      <c r="J164" s="117"/>
      <c r="K164" s="118"/>
      <c r="L164" s="96"/>
      <c r="N164" s="105"/>
    </row>
    <row r="165" spans="2:14" s="104" customFormat="1" ht="56.25" customHeight="1">
      <c r="B165" s="196" t="s">
        <v>338</v>
      </c>
      <c r="C165" s="76" t="s">
        <v>247</v>
      </c>
      <c r="D165" s="251" t="s">
        <v>77</v>
      </c>
      <c r="E165" s="183">
        <v>83463</v>
      </c>
      <c r="F165" s="78">
        <v>1</v>
      </c>
      <c r="G165" s="79">
        <v>305.51</v>
      </c>
      <c r="H165" s="80">
        <f t="shared" si="51"/>
        <v>389.92</v>
      </c>
      <c r="I165" s="80">
        <f t="shared" si="54"/>
        <v>389.92</v>
      </c>
      <c r="J165" s="117">
        <v>0</v>
      </c>
      <c r="K165" s="118" t="e">
        <f>(J165*#REF!)</f>
        <v>#REF!</v>
      </c>
      <c r="L165" s="96"/>
      <c r="N165" s="105"/>
    </row>
    <row r="166" spans="2:14" s="1" customFormat="1" ht="12.75" customHeight="1">
      <c r="B166" s="325" t="s">
        <v>6</v>
      </c>
      <c r="C166" s="326"/>
      <c r="D166" s="326"/>
      <c r="E166" s="326"/>
      <c r="F166" s="348"/>
      <c r="G166" s="323">
        <f>(100%)</f>
        <v>1</v>
      </c>
      <c r="H166" s="324"/>
      <c r="I166" s="197">
        <f>SUM(I142:I165)</f>
        <v>7402.2700000000023</v>
      </c>
      <c r="J166" s="115" t="e">
        <f>(K166/#REF!)</f>
        <v>#REF!</v>
      </c>
      <c r="K166" s="116" t="e">
        <f>SUM(K143:K165)</f>
        <v>#REF!</v>
      </c>
      <c r="L166" s="71"/>
      <c r="N166" s="6"/>
    </row>
    <row r="167" spans="2:14">
      <c r="B167" s="195">
        <v>15</v>
      </c>
      <c r="C167" s="260" t="s">
        <v>227</v>
      </c>
      <c r="D167" s="392"/>
      <c r="E167" s="321"/>
      <c r="F167" s="321"/>
      <c r="G167" s="321"/>
      <c r="H167" s="321"/>
      <c r="I167" s="322"/>
      <c r="J167" s="77"/>
      <c r="K167" s="77"/>
      <c r="L167" s="73"/>
    </row>
    <row r="168" spans="2:14" s="104" customFormat="1" ht="18.75" customHeight="1">
      <c r="B168" s="196" t="s">
        <v>134</v>
      </c>
      <c r="C168" s="76" t="s">
        <v>32</v>
      </c>
      <c r="D168" s="251" t="s">
        <v>92</v>
      </c>
      <c r="E168" s="249">
        <v>9537</v>
      </c>
      <c r="F168" s="78">
        <v>74.48</v>
      </c>
      <c r="G168" s="79">
        <v>2.77</v>
      </c>
      <c r="H168" s="80">
        <f>TRUNC(G168*$H$15+G168,2)</f>
        <v>3.53</v>
      </c>
      <c r="I168" s="80">
        <f>TRUNC(H168*F168,2)</f>
        <v>262.91000000000003</v>
      </c>
      <c r="J168" s="117">
        <v>0</v>
      </c>
      <c r="K168" s="118" t="e">
        <f>(J168*#REF!)</f>
        <v>#REF!</v>
      </c>
      <c r="L168" s="96"/>
      <c r="N168" s="105"/>
    </row>
    <row r="169" spans="2:14" s="1" customFormat="1" ht="12.75" customHeight="1" thickBot="1">
      <c r="B169" s="384" t="s">
        <v>6</v>
      </c>
      <c r="C169" s="385"/>
      <c r="D169" s="385"/>
      <c r="E169" s="385"/>
      <c r="F169" s="386"/>
      <c r="G169" s="387">
        <f>(100%)</f>
        <v>1</v>
      </c>
      <c r="H169" s="388"/>
      <c r="I169" s="274">
        <f>SUM(I168:I168)+0.01</f>
        <v>262.92</v>
      </c>
      <c r="J169" s="115" t="e">
        <f>(K169/#REF!)</f>
        <v>#REF!</v>
      </c>
      <c r="K169" s="116" t="e">
        <f>SUM(K168:K168)</f>
        <v>#REF!</v>
      </c>
      <c r="L169" s="71"/>
      <c r="N169" s="6"/>
    </row>
    <row r="170" spans="2:14" ht="15.75" customHeight="1" thickBot="1">
      <c r="B170" s="389" t="s">
        <v>93</v>
      </c>
      <c r="C170" s="390"/>
      <c r="D170" s="390"/>
      <c r="E170" s="390"/>
      <c r="F170" s="390"/>
      <c r="G170" s="390"/>
      <c r="H170" s="391"/>
      <c r="I170" s="275">
        <f>SUM(I169,I166,I140,I87,I82,I76,I69,I59,I53,I47,I44,I36,I26,I21,I17,I65)</f>
        <v>107967.62880000001</v>
      </c>
      <c r="J170" s="122"/>
      <c r="K170" s="122" t="s">
        <v>35</v>
      </c>
      <c r="L170" s="74"/>
    </row>
    <row r="171" spans="2:14" ht="19.5" customHeight="1">
      <c r="B171" s="381" t="s">
        <v>409</v>
      </c>
      <c r="C171" s="382"/>
      <c r="D171" s="382"/>
      <c r="E171" s="382"/>
      <c r="F171" s="382"/>
      <c r="G171" s="382"/>
      <c r="H171" s="382"/>
      <c r="I171" s="383"/>
      <c r="J171" s="123"/>
      <c r="K171" s="123"/>
      <c r="L171" s="75"/>
    </row>
    <row r="172" spans="2:14">
      <c r="B172" s="199" t="s">
        <v>101</v>
      </c>
      <c r="C172" s="191"/>
      <c r="D172" s="192"/>
      <c r="E172" s="193"/>
      <c r="F172" s="193"/>
      <c r="G172" s="194"/>
      <c r="H172" s="191"/>
      <c r="I172" s="200"/>
      <c r="J172" s="106"/>
      <c r="K172" s="106"/>
      <c r="L172" s="106"/>
    </row>
    <row r="173" spans="2:14">
      <c r="B173" s="201"/>
      <c r="C173" s="202" t="s">
        <v>100</v>
      </c>
      <c r="D173" s="203"/>
      <c r="E173" s="204"/>
      <c r="F173" s="204"/>
      <c r="G173" s="205"/>
      <c r="H173" s="206"/>
      <c r="I173" s="207"/>
      <c r="J173" s="106"/>
      <c r="K173" s="106"/>
      <c r="L173" s="106"/>
    </row>
    <row r="174" spans="2:14" ht="5.25" customHeight="1">
      <c r="B174" s="12"/>
      <c r="C174" s="12"/>
      <c r="D174" s="13"/>
      <c r="E174" s="14"/>
      <c r="F174" s="14"/>
      <c r="G174" s="11"/>
      <c r="H174" s="12"/>
      <c r="I174" s="12"/>
      <c r="J174" s="12"/>
      <c r="K174" s="12"/>
      <c r="L174" s="12"/>
    </row>
    <row r="175" spans="2:14">
      <c r="B175" s="12"/>
      <c r="C175" s="12"/>
      <c r="D175" s="13"/>
      <c r="E175" s="14"/>
      <c r="F175" s="14"/>
      <c r="G175" s="11"/>
      <c r="H175" s="12"/>
      <c r="I175" s="12"/>
      <c r="J175" s="12"/>
      <c r="K175" s="12"/>
      <c r="L175" s="12"/>
    </row>
    <row r="176" spans="2:14">
      <c r="B176" s="12"/>
      <c r="C176" s="12"/>
      <c r="D176" s="13"/>
      <c r="E176" s="14"/>
      <c r="F176" s="14"/>
      <c r="G176" s="11"/>
      <c r="H176" s="12"/>
      <c r="I176" s="12"/>
      <c r="J176" s="12"/>
      <c r="K176" s="12"/>
      <c r="L176" s="12"/>
    </row>
    <row r="177" spans="2:12">
      <c r="B177" s="12"/>
      <c r="C177" s="12" t="s">
        <v>209</v>
      </c>
      <c r="D177" s="13"/>
      <c r="E177" s="14"/>
      <c r="F177" s="14"/>
      <c r="G177" s="11"/>
      <c r="H177" s="12"/>
      <c r="I177" s="12"/>
      <c r="J177" s="12"/>
      <c r="K177" s="12"/>
      <c r="L177" s="12"/>
    </row>
    <row r="178" spans="2:12">
      <c r="B178" s="12"/>
      <c r="C178" s="12"/>
      <c r="D178" s="13"/>
      <c r="E178" s="14"/>
      <c r="F178" s="14"/>
      <c r="G178" s="11"/>
      <c r="H178" s="12"/>
      <c r="I178" s="12"/>
      <c r="J178" s="12"/>
      <c r="K178" s="12"/>
      <c r="L178" s="12"/>
    </row>
    <row r="179" spans="2:12">
      <c r="B179" s="12"/>
      <c r="C179" s="12"/>
      <c r="D179" s="13"/>
      <c r="E179" s="14"/>
      <c r="F179" s="14"/>
      <c r="G179" s="11"/>
      <c r="H179" s="12"/>
      <c r="I179" s="12"/>
      <c r="J179" s="12"/>
      <c r="K179" s="12"/>
      <c r="L179" s="12"/>
    </row>
    <row r="180" spans="2:12">
      <c r="B180" s="12"/>
      <c r="C180" s="12"/>
      <c r="D180" s="13"/>
      <c r="E180" s="14"/>
      <c r="F180" s="14"/>
      <c r="G180" s="11"/>
      <c r="H180" s="12"/>
      <c r="I180" s="12"/>
      <c r="J180" s="12"/>
      <c r="K180" s="12"/>
      <c r="L180" s="12"/>
    </row>
    <row r="181" spans="2:12">
      <c r="B181" s="12"/>
      <c r="C181" s="12"/>
      <c r="D181" s="13"/>
      <c r="E181" s="14"/>
      <c r="F181" s="14"/>
      <c r="G181" s="11"/>
      <c r="H181" s="12"/>
      <c r="I181" s="12"/>
      <c r="J181" s="12"/>
      <c r="K181" s="12"/>
      <c r="L181" s="12"/>
    </row>
    <row r="182" spans="2:12">
      <c r="B182" s="12"/>
      <c r="C182" s="12"/>
      <c r="D182" s="13"/>
      <c r="E182" s="14"/>
      <c r="F182" s="14"/>
      <c r="G182" s="11"/>
      <c r="H182" s="12"/>
      <c r="I182" s="12"/>
      <c r="J182" s="12"/>
      <c r="K182" s="12"/>
      <c r="L182" s="12"/>
    </row>
    <row r="183" spans="2:12">
      <c r="B183" s="12"/>
      <c r="C183" s="12"/>
      <c r="D183" s="13"/>
      <c r="E183" s="14"/>
      <c r="F183" s="14"/>
      <c r="G183" s="11"/>
      <c r="H183" s="12"/>
      <c r="I183" s="12"/>
    </row>
  </sheetData>
  <mergeCells count="77">
    <mergeCell ref="B53:F53"/>
    <mergeCell ref="G59:H59"/>
    <mergeCell ref="B171:I171"/>
    <mergeCell ref="B169:F169"/>
    <mergeCell ref="G169:H169"/>
    <mergeCell ref="B170:H170"/>
    <mergeCell ref="B166:F166"/>
    <mergeCell ref="G166:H166"/>
    <mergeCell ref="D54:I54"/>
    <mergeCell ref="D167:I167"/>
    <mergeCell ref="D88:I88"/>
    <mergeCell ref="D141:I141"/>
    <mergeCell ref="B120:C120"/>
    <mergeCell ref="B140:F140"/>
    <mergeCell ref="G140:H140"/>
    <mergeCell ref="B89:C89"/>
    <mergeCell ref="B87:F87"/>
    <mergeCell ref="G82:H82"/>
    <mergeCell ref="G76:H76"/>
    <mergeCell ref="G87:H87"/>
    <mergeCell ref="D66:I66"/>
    <mergeCell ref="B69:F69"/>
    <mergeCell ref="G69:H69"/>
    <mergeCell ref="D83:I83"/>
    <mergeCell ref="B82:F82"/>
    <mergeCell ref="D70:I70"/>
    <mergeCell ref="B2:I2"/>
    <mergeCell ref="D22:I22"/>
    <mergeCell ref="B11:I11"/>
    <mergeCell ref="B12:B14"/>
    <mergeCell ref="G12:I13"/>
    <mergeCell ref="B5:I5"/>
    <mergeCell ref="B6:I6"/>
    <mergeCell ref="B47:F47"/>
    <mergeCell ref="G21:H21"/>
    <mergeCell ref="B21:F21"/>
    <mergeCell ref="B26:F26"/>
    <mergeCell ref="D27:I27"/>
    <mergeCell ref="J15:K15"/>
    <mergeCell ref="B3:I3"/>
    <mergeCell ref="B7:G7"/>
    <mergeCell ref="H7:I7"/>
    <mergeCell ref="J7:K7"/>
    <mergeCell ref="F12:F14"/>
    <mergeCell ref="D12:D14"/>
    <mergeCell ref="N18:P18"/>
    <mergeCell ref="J18:K18"/>
    <mergeCell ref="J8:K8"/>
    <mergeCell ref="B9:I9"/>
    <mergeCell ref="B8:I8"/>
    <mergeCell ref="J10:K10"/>
    <mergeCell ref="B10:G10"/>
    <mergeCell ref="H10:I10"/>
    <mergeCell ref="E12:E14"/>
    <mergeCell ref="N15:P15"/>
    <mergeCell ref="N16:P16"/>
    <mergeCell ref="B17:F17"/>
    <mergeCell ref="G17:H17"/>
    <mergeCell ref="J12:K12"/>
    <mergeCell ref="C12:C14"/>
    <mergeCell ref="J13:K13"/>
    <mergeCell ref="N19:P19"/>
    <mergeCell ref="D48:I48"/>
    <mergeCell ref="G26:H26"/>
    <mergeCell ref="B76:F76"/>
    <mergeCell ref="B59:F59"/>
    <mergeCell ref="D60:I60"/>
    <mergeCell ref="B65:F65"/>
    <mergeCell ref="G53:H53"/>
    <mergeCell ref="G47:H47"/>
    <mergeCell ref="D45:I45"/>
    <mergeCell ref="G36:H36"/>
    <mergeCell ref="B36:F36"/>
    <mergeCell ref="D37:I37"/>
    <mergeCell ref="G44:H44"/>
    <mergeCell ref="B44:F44"/>
    <mergeCell ref="G65:H65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fitToWidth="5" fitToHeight="6" orientation="landscape" r:id="rId1"/>
  <headerFooter alignWithMargins="0">
    <oddFooter>&amp;LSanto Antonio do Leste&amp;C15  de Setembro de 2018&amp;RMato Grosso, Brasil</oddFooter>
  </headerFooter>
  <rowBreaks count="3" manualBreakCount="3">
    <brk id="59" min="1" max="8" man="1"/>
    <brk id="76" min="1" max="8" man="1"/>
    <brk id="140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J41"/>
  <sheetViews>
    <sheetView view="pageBreakPreview" zoomScaleNormal="100" zoomScaleSheetLayoutView="100" workbookViewId="0">
      <selection activeCell="F12" sqref="F12"/>
    </sheetView>
  </sheetViews>
  <sheetFormatPr defaultRowHeight="12.75"/>
  <cols>
    <col min="2" max="2" width="0.7109375" customWidth="1"/>
    <col min="3" max="3" width="21.85546875" customWidth="1"/>
    <col min="4" max="4" width="54.140625" bestFit="1" customWidth="1"/>
    <col min="5" max="5" width="15" customWidth="1"/>
    <col min="6" max="6" width="38.42578125" customWidth="1"/>
    <col min="7" max="7" width="11.5703125" bestFit="1" customWidth="1"/>
    <col min="8" max="8" width="11.42578125" customWidth="1"/>
    <col min="9" max="9" width="0.7109375" customWidth="1"/>
  </cols>
  <sheetData>
    <row r="1" spans="2:10" ht="18.75" customHeight="1" thickBot="1"/>
    <row r="2" spans="2:10" ht="3.75" customHeight="1" thickBot="1">
      <c r="B2" s="210"/>
      <c r="C2" s="211"/>
      <c r="D2" s="211"/>
      <c r="E2" s="212"/>
      <c r="F2" s="211"/>
      <c r="G2" s="211"/>
      <c r="H2" s="211"/>
      <c r="I2" s="213"/>
      <c r="J2" s="129"/>
    </row>
    <row r="3" spans="2:10" ht="22.5" customHeight="1">
      <c r="B3" s="214"/>
      <c r="C3" s="408" t="s">
        <v>140</v>
      </c>
      <c r="D3" s="409"/>
      <c r="E3" s="409"/>
      <c r="F3" s="409"/>
      <c r="G3" s="409"/>
      <c r="H3" s="410"/>
      <c r="I3" s="215"/>
      <c r="J3" s="129"/>
    </row>
    <row r="4" spans="2:10" ht="16.5" customHeight="1">
      <c r="B4" s="214"/>
      <c r="C4" s="453" t="s">
        <v>411</v>
      </c>
      <c r="D4" s="411"/>
      <c r="E4" s="411"/>
      <c r="F4" s="411"/>
      <c r="G4" s="411"/>
      <c r="H4" s="412"/>
      <c r="I4" s="215"/>
      <c r="J4" s="129"/>
    </row>
    <row r="5" spans="2:10" ht="13.5" thickBot="1">
      <c r="B5" s="214"/>
      <c r="C5" s="413" t="s">
        <v>298</v>
      </c>
      <c r="D5" s="414"/>
      <c r="E5" s="414"/>
      <c r="F5" s="414"/>
      <c r="G5" s="414"/>
      <c r="H5" s="415"/>
      <c r="I5" s="215"/>
      <c r="J5" s="129"/>
    </row>
    <row r="6" spans="2:10" ht="6" customHeight="1" thickBot="1">
      <c r="B6" s="214"/>
      <c r="C6" s="61"/>
      <c r="D6" s="61"/>
      <c r="E6" s="130"/>
      <c r="F6" s="61"/>
      <c r="G6" s="61"/>
      <c r="H6" s="61"/>
      <c r="I6" s="215"/>
      <c r="J6" s="129"/>
    </row>
    <row r="7" spans="2:10">
      <c r="B7" s="214"/>
      <c r="C7" s="134" t="s">
        <v>408</v>
      </c>
      <c r="D7" s="404" t="s">
        <v>284</v>
      </c>
      <c r="E7" s="404"/>
      <c r="F7" s="404"/>
      <c r="G7" s="404"/>
      <c r="H7" s="135" t="s">
        <v>77</v>
      </c>
      <c r="I7" s="216"/>
    </row>
    <row r="8" spans="2:10" ht="25.5">
      <c r="B8" s="214"/>
      <c r="C8" s="136" t="s">
        <v>299</v>
      </c>
      <c r="D8" s="131" t="s">
        <v>142</v>
      </c>
      <c r="E8" s="131" t="s">
        <v>77</v>
      </c>
      <c r="F8" s="131" t="s">
        <v>143</v>
      </c>
      <c r="G8" s="132" t="s">
        <v>148</v>
      </c>
      <c r="H8" s="133" t="s">
        <v>149</v>
      </c>
      <c r="I8" s="216"/>
    </row>
    <row r="9" spans="2:10" ht="25.5">
      <c r="B9" s="214"/>
      <c r="C9" s="159">
        <v>38195</v>
      </c>
      <c r="D9" s="160" t="s">
        <v>304</v>
      </c>
      <c r="E9" s="159" t="s">
        <v>141</v>
      </c>
      <c r="F9" s="276">
        <v>0.188</v>
      </c>
      <c r="G9" s="161">
        <v>32.43</v>
      </c>
      <c r="H9" s="161">
        <f>G9*F9</f>
        <v>6.0968400000000003</v>
      </c>
      <c r="I9" s="216"/>
    </row>
    <row r="10" spans="2:10">
      <c r="B10" s="214"/>
      <c r="C10" s="159">
        <v>1381</v>
      </c>
      <c r="D10" s="277" t="s">
        <v>300</v>
      </c>
      <c r="E10" s="159" t="s">
        <v>71</v>
      </c>
      <c r="F10" s="276">
        <v>0.60299999999999998</v>
      </c>
      <c r="G10" s="161">
        <v>0.55000000000000004</v>
      </c>
      <c r="H10" s="161">
        <f t="shared" ref="H10:H13" si="0">G10*F10</f>
        <v>0.33165</v>
      </c>
      <c r="I10" s="216"/>
    </row>
    <row r="11" spans="2:10">
      <c r="B11" s="214"/>
      <c r="C11" s="159">
        <v>34357</v>
      </c>
      <c r="D11" s="277" t="s">
        <v>301</v>
      </c>
      <c r="E11" s="159" t="s">
        <v>71</v>
      </c>
      <c r="F11" s="276">
        <v>8.4000000000000005E-2</v>
      </c>
      <c r="G11" s="161">
        <v>3.5</v>
      </c>
      <c r="H11" s="161">
        <f t="shared" si="0"/>
        <v>0.29400000000000004</v>
      </c>
      <c r="I11" s="216"/>
    </row>
    <row r="12" spans="2:10" ht="25.5">
      <c r="B12" s="214"/>
      <c r="C12" s="278">
        <v>88256</v>
      </c>
      <c r="D12" s="277" t="s">
        <v>302</v>
      </c>
      <c r="E12" s="159" t="s">
        <v>145</v>
      </c>
      <c r="F12" s="276">
        <v>8.5000000000000006E-2</v>
      </c>
      <c r="G12" s="161">
        <v>17.54</v>
      </c>
      <c r="H12" s="161">
        <f t="shared" si="0"/>
        <v>1.4909000000000001</v>
      </c>
      <c r="I12" s="216"/>
    </row>
    <row r="13" spans="2:10" ht="13.5" thickBot="1">
      <c r="B13" s="214"/>
      <c r="C13" s="278">
        <v>88316</v>
      </c>
      <c r="D13" s="277" t="s">
        <v>152</v>
      </c>
      <c r="E13" s="159" t="s">
        <v>145</v>
      </c>
      <c r="F13" s="276">
        <v>3.1E-2</v>
      </c>
      <c r="G13" s="161">
        <v>14.31</v>
      </c>
      <c r="H13" s="161">
        <f t="shared" si="0"/>
        <v>0.44361</v>
      </c>
      <c r="I13" s="216"/>
    </row>
    <row r="14" spans="2:10" ht="16.5" thickBot="1">
      <c r="B14" s="214"/>
      <c r="C14" s="406" t="s">
        <v>303</v>
      </c>
      <c r="D14" s="406"/>
      <c r="E14" s="406"/>
      <c r="F14" s="407"/>
      <c r="G14" s="143" t="s">
        <v>146</v>
      </c>
      <c r="H14" s="144">
        <f>TRUNC(SUM(H9:H13),2)</f>
        <v>8.65</v>
      </c>
      <c r="I14" s="216"/>
    </row>
    <row r="15" spans="2:10" ht="9" customHeight="1" thickBot="1">
      <c r="B15" s="214"/>
      <c r="C15" s="61"/>
      <c r="D15" s="61"/>
      <c r="E15" s="61"/>
      <c r="F15" s="61"/>
      <c r="G15" s="61"/>
      <c r="H15" s="61"/>
      <c r="I15" s="216"/>
    </row>
    <row r="16" spans="2:10">
      <c r="B16" s="214"/>
      <c r="C16" s="134" t="s">
        <v>147</v>
      </c>
      <c r="D16" s="404" t="s">
        <v>407</v>
      </c>
      <c r="E16" s="404"/>
      <c r="F16" s="404"/>
      <c r="G16" s="404"/>
      <c r="H16" s="135" t="s">
        <v>77</v>
      </c>
      <c r="I16" s="216"/>
    </row>
    <row r="17" spans="2:9" ht="25.5">
      <c r="B17" s="214"/>
      <c r="C17" s="136" t="s">
        <v>202</v>
      </c>
      <c r="D17" s="131" t="s">
        <v>142</v>
      </c>
      <c r="E17" s="131" t="s">
        <v>77</v>
      </c>
      <c r="F17" s="131" t="s">
        <v>143</v>
      </c>
      <c r="G17" s="132" t="s">
        <v>148</v>
      </c>
      <c r="H17" s="133" t="s">
        <v>149</v>
      </c>
      <c r="I17" s="216"/>
    </row>
    <row r="18" spans="2:9">
      <c r="B18" s="214"/>
      <c r="C18" s="280" t="s">
        <v>405</v>
      </c>
      <c r="D18" s="279" t="s">
        <v>406</v>
      </c>
      <c r="E18" s="280" t="s">
        <v>58</v>
      </c>
      <c r="F18" s="276">
        <v>2.7</v>
      </c>
      <c r="G18" s="161">
        <v>106.25</v>
      </c>
      <c r="H18" s="161">
        <f>G18*F18</f>
        <v>286.875</v>
      </c>
      <c r="I18" s="216"/>
    </row>
    <row r="19" spans="2:9">
      <c r="B19" s="214"/>
      <c r="C19" s="159">
        <v>12547</v>
      </c>
      <c r="D19" s="279" t="s">
        <v>403</v>
      </c>
      <c r="E19" s="280" t="s">
        <v>401</v>
      </c>
      <c r="F19" s="276">
        <v>6</v>
      </c>
      <c r="G19" s="161">
        <v>98</v>
      </c>
      <c r="H19" s="161">
        <f t="shared" ref="H19:H21" si="1">G19*F19</f>
        <v>588</v>
      </c>
      <c r="I19" s="216"/>
    </row>
    <row r="20" spans="2:9" ht="39" customHeight="1">
      <c r="B20" s="214"/>
      <c r="C20" s="281">
        <v>94963</v>
      </c>
      <c r="D20" s="282" t="s">
        <v>404</v>
      </c>
      <c r="E20" s="283" t="s">
        <v>58</v>
      </c>
      <c r="F20" s="284">
        <v>0.189</v>
      </c>
      <c r="G20" s="285">
        <v>282.64</v>
      </c>
      <c r="H20" s="285">
        <f t="shared" si="1"/>
        <v>53.418959999999998</v>
      </c>
      <c r="I20" s="216"/>
    </row>
    <row r="21" spans="2:9" ht="30" customHeight="1" thickBot="1">
      <c r="B21" s="214"/>
      <c r="C21" s="278">
        <v>93358</v>
      </c>
      <c r="D21" s="286" t="s">
        <v>136</v>
      </c>
      <c r="E21" s="280" t="s">
        <v>58</v>
      </c>
      <c r="F21" s="276">
        <v>5.0999999999999996</v>
      </c>
      <c r="G21" s="161">
        <v>56.61</v>
      </c>
      <c r="H21" s="161">
        <f t="shared" si="1"/>
        <v>288.71099999999996</v>
      </c>
      <c r="I21" s="216"/>
    </row>
    <row r="22" spans="2:9" ht="16.5" thickBot="1">
      <c r="B22" s="214"/>
      <c r="C22" s="405" t="s">
        <v>402</v>
      </c>
      <c r="D22" s="406"/>
      <c r="E22" s="406"/>
      <c r="F22" s="407"/>
      <c r="G22" s="143" t="s">
        <v>146</v>
      </c>
      <c r="H22" s="144">
        <f>TRUNC(SUM(H18:H21),2)</f>
        <v>1217</v>
      </c>
      <c r="I22" s="216"/>
    </row>
    <row r="23" spans="2:9" ht="18.75" customHeight="1" thickBot="1">
      <c r="B23" s="214"/>
      <c r="C23" s="396" t="s">
        <v>309</v>
      </c>
      <c r="D23" s="397"/>
      <c r="E23" s="397"/>
      <c r="F23" s="397"/>
      <c r="G23" s="397"/>
      <c r="H23" s="397"/>
      <c r="I23" s="216"/>
    </row>
    <row r="24" spans="2:9" ht="13.5" thickBot="1">
      <c r="B24" s="214"/>
      <c r="C24" s="209" t="s">
        <v>225</v>
      </c>
      <c r="D24" s="403" t="s">
        <v>306</v>
      </c>
      <c r="E24" s="404"/>
      <c r="F24" s="404"/>
      <c r="G24" s="404"/>
      <c r="H24" s="135" t="s">
        <v>77</v>
      </c>
      <c r="I24" s="216"/>
    </row>
    <row r="25" spans="2:9" ht="25.5">
      <c r="B25" s="214"/>
      <c r="C25" s="208" t="s">
        <v>202</v>
      </c>
      <c r="D25" s="131" t="s">
        <v>142</v>
      </c>
      <c r="E25" s="131" t="s">
        <v>77</v>
      </c>
      <c r="F25" s="131" t="s">
        <v>143</v>
      </c>
      <c r="G25" s="132" t="s">
        <v>148</v>
      </c>
      <c r="H25" s="133" t="s">
        <v>149</v>
      </c>
      <c r="I25" s="216"/>
    </row>
    <row r="26" spans="2:9">
      <c r="B26" s="214"/>
      <c r="C26" s="398" t="s">
        <v>150</v>
      </c>
      <c r="D26" s="399"/>
      <c r="E26" s="399"/>
      <c r="F26" s="399"/>
      <c r="G26" s="399"/>
      <c r="H26" s="400"/>
      <c r="I26" s="216"/>
    </row>
    <row r="27" spans="2:9" ht="27.75" customHeight="1">
      <c r="B27" s="214"/>
      <c r="C27" s="145">
        <v>39465</v>
      </c>
      <c r="D27" s="146" t="s">
        <v>307</v>
      </c>
      <c r="E27" s="145" t="s">
        <v>2</v>
      </c>
      <c r="F27" s="147">
        <v>1</v>
      </c>
      <c r="G27" s="148">
        <v>49.4</v>
      </c>
      <c r="H27" s="149">
        <f>TRUNC(F27*G27,2)</f>
        <v>49.4</v>
      </c>
      <c r="I27" s="216"/>
    </row>
    <row r="28" spans="2:9">
      <c r="B28" s="214"/>
      <c r="C28" s="398" t="s">
        <v>144</v>
      </c>
      <c r="D28" s="399"/>
      <c r="E28" s="399"/>
      <c r="F28" s="399"/>
      <c r="G28" s="399"/>
      <c r="H28" s="400"/>
      <c r="I28" s="216"/>
    </row>
    <row r="29" spans="2:9">
      <c r="B29" s="214"/>
      <c r="C29" s="145">
        <v>88264</v>
      </c>
      <c r="D29" s="150" t="s">
        <v>153</v>
      </c>
      <c r="E29" s="139" t="s">
        <v>145</v>
      </c>
      <c r="F29" s="140">
        <v>0.3</v>
      </c>
      <c r="G29" s="141">
        <v>18.22</v>
      </c>
      <c r="H29" s="142">
        <f>TRUNC(F29*G29,2)</f>
        <v>5.46</v>
      </c>
      <c r="I29" s="216"/>
    </row>
    <row r="30" spans="2:9" ht="13.5" thickBot="1">
      <c r="B30" s="214"/>
      <c r="C30" s="138" t="s">
        <v>151</v>
      </c>
      <c r="D30" s="137" t="s">
        <v>152</v>
      </c>
      <c r="E30" s="139" t="s">
        <v>145</v>
      </c>
      <c r="F30" s="140">
        <v>0.3</v>
      </c>
      <c r="G30" s="151">
        <v>14.31</v>
      </c>
      <c r="H30" s="142">
        <f>TRUNC(F30*G30,2)</f>
        <v>4.29</v>
      </c>
      <c r="I30" s="216"/>
    </row>
    <row r="31" spans="2:9" ht="16.5" thickBot="1">
      <c r="B31" s="214"/>
      <c r="C31" s="401" t="s">
        <v>154</v>
      </c>
      <c r="D31" s="401"/>
      <c r="E31" s="401"/>
      <c r="F31" s="402"/>
      <c r="G31" s="143" t="s">
        <v>146</v>
      </c>
      <c r="H31" s="144">
        <f>SUM(H27:H30)</f>
        <v>59.15</v>
      </c>
      <c r="I31" s="216"/>
    </row>
    <row r="32" spans="2:9" ht="7.5" customHeight="1" thickBot="1">
      <c r="B32" s="214"/>
      <c r="C32" s="61"/>
      <c r="D32" s="61"/>
      <c r="E32" s="130"/>
      <c r="F32" s="61"/>
      <c r="G32" s="61"/>
      <c r="H32" s="61"/>
      <c r="I32" s="216"/>
    </row>
    <row r="33" spans="2:9" ht="13.5" thickBot="1">
      <c r="B33" s="214"/>
      <c r="C33" s="209" t="s">
        <v>308</v>
      </c>
      <c r="D33" s="404" t="s">
        <v>155</v>
      </c>
      <c r="E33" s="404"/>
      <c r="F33" s="404"/>
      <c r="G33" s="404"/>
      <c r="H33" s="135" t="s">
        <v>77</v>
      </c>
      <c r="I33" s="216"/>
    </row>
    <row r="34" spans="2:9" ht="25.5">
      <c r="B34" s="214"/>
      <c r="C34" s="136" t="s">
        <v>202</v>
      </c>
      <c r="D34" s="131" t="s">
        <v>142</v>
      </c>
      <c r="E34" s="131" t="s">
        <v>77</v>
      </c>
      <c r="F34" s="131" t="s">
        <v>143</v>
      </c>
      <c r="G34" s="132" t="s">
        <v>148</v>
      </c>
      <c r="H34" s="133" t="s">
        <v>149</v>
      </c>
      <c r="I34" s="216"/>
    </row>
    <row r="35" spans="2:9">
      <c r="B35" s="214"/>
      <c r="C35" s="398" t="s">
        <v>150</v>
      </c>
      <c r="D35" s="399"/>
      <c r="E35" s="399"/>
      <c r="F35" s="399"/>
      <c r="G35" s="399"/>
      <c r="H35" s="400"/>
      <c r="I35" s="216"/>
    </row>
    <row r="36" spans="2:9" ht="25.5">
      <c r="B36" s="214"/>
      <c r="C36" s="145">
        <v>39447</v>
      </c>
      <c r="D36" s="146" t="s">
        <v>155</v>
      </c>
      <c r="E36" s="145" t="s">
        <v>2</v>
      </c>
      <c r="F36" s="152">
        <v>1</v>
      </c>
      <c r="G36" s="153">
        <v>110.63</v>
      </c>
      <c r="H36" s="154">
        <f>TRUNC(F36*G36,2)</f>
        <v>110.63</v>
      </c>
      <c r="I36" s="216"/>
    </row>
    <row r="37" spans="2:9">
      <c r="B37" s="214"/>
      <c r="C37" s="398" t="s">
        <v>144</v>
      </c>
      <c r="D37" s="399"/>
      <c r="E37" s="399"/>
      <c r="F37" s="399"/>
      <c r="G37" s="399"/>
      <c r="H37" s="400"/>
      <c r="I37" s="216"/>
    </row>
    <row r="38" spans="2:9">
      <c r="B38" s="214"/>
      <c r="C38" s="145">
        <v>88264</v>
      </c>
      <c r="D38" s="150" t="s">
        <v>153</v>
      </c>
      <c r="E38" s="139" t="s">
        <v>145</v>
      </c>
      <c r="F38" s="140">
        <v>0.6</v>
      </c>
      <c r="G38" s="141">
        <v>18.22</v>
      </c>
      <c r="H38" s="142">
        <f>TRUNC(F38*G38,2)</f>
        <v>10.93</v>
      </c>
      <c r="I38" s="216"/>
    </row>
    <row r="39" spans="2:9" ht="13.5" thickBot="1">
      <c r="B39" s="214"/>
      <c r="C39" s="138" t="s">
        <v>151</v>
      </c>
      <c r="D39" s="137" t="s">
        <v>152</v>
      </c>
      <c r="E39" s="139" t="s">
        <v>145</v>
      </c>
      <c r="F39" s="140">
        <v>0.6</v>
      </c>
      <c r="G39" s="151">
        <v>14.31</v>
      </c>
      <c r="H39" s="142">
        <f>TRUNC(F39*G39,2)</f>
        <v>8.58</v>
      </c>
      <c r="I39" s="216"/>
    </row>
    <row r="40" spans="2:9" ht="14.25" customHeight="1" thickBot="1">
      <c r="B40" s="214"/>
      <c r="C40" s="401" t="s">
        <v>156</v>
      </c>
      <c r="D40" s="401"/>
      <c r="E40" s="401"/>
      <c r="F40" s="402"/>
      <c r="G40" s="143" t="s">
        <v>146</v>
      </c>
      <c r="H40" s="144">
        <f>SUM(H36:H39)</f>
        <v>130.14000000000001</v>
      </c>
      <c r="I40" s="216"/>
    </row>
    <row r="41" spans="2:9" ht="3.75" customHeight="1" thickBot="1">
      <c r="B41" s="217"/>
      <c r="C41" s="218"/>
      <c r="D41" s="218"/>
      <c r="E41" s="218"/>
      <c r="F41" s="218"/>
      <c r="G41" s="218"/>
      <c r="H41" s="218"/>
      <c r="I41" s="219"/>
    </row>
  </sheetData>
  <mergeCells count="16">
    <mergeCell ref="D16:G16"/>
    <mergeCell ref="C22:F22"/>
    <mergeCell ref="C3:H3"/>
    <mergeCell ref="C4:H4"/>
    <mergeCell ref="C5:H5"/>
    <mergeCell ref="D7:G7"/>
    <mergeCell ref="C14:F14"/>
    <mergeCell ref="C23:H23"/>
    <mergeCell ref="C37:H37"/>
    <mergeCell ref="C40:F40"/>
    <mergeCell ref="D24:G24"/>
    <mergeCell ref="C26:H26"/>
    <mergeCell ref="C28:H28"/>
    <mergeCell ref="C31:F31"/>
    <mergeCell ref="D33:G33"/>
    <mergeCell ref="C35:H3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8"/>
  <sheetViews>
    <sheetView showGridLines="0" view="pageBreakPreview" zoomScaleNormal="100" zoomScaleSheetLayoutView="100" workbookViewId="0">
      <selection activeCell="C30" sqref="C30:C32"/>
    </sheetView>
  </sheetViews>
  <sheetFormatPr defaultColWidth="11.42578125" defaultRowHeight="12.75"/>
  <cols>
    <col min="1" max="1" width="0.7109375" style="10" customWidth="1"/>
    <col min="2" max="2" width="14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85546875" style="10" customWidth="1"/>
    <col min="10" max="10" width="0.7109375" style="10" customWidth="1"/>
    <col min="11" max="16384" width="11.42578125" style="10"/>
  </cols>
  <sheetData>
    <row r="1" spans="1:10" ht="3.75" customHeight="1" thickBot="1">
      <c r="A1" s="220"/>
      <c r="B1" s="226"/>
      <c r="C1" s="226"/>
      <c r="D1" s="226"/>
      <c r="E1" s="226"/>
      <c r="F1" s="226"/>
      <c r="G1" s="226"/>
      <c r="H1" s="226"/>
      <c r="I1" s="226"/>
      <c r="J1" s="221"/>
    </row>
    <row r="2" spans="1:10">
      <c r="A2" s="222"/>
      <c r="B2" s="425" t="s">
        <v>7</v>
      </c>
      <c r="C2" s="426"/>
      <c r="D2" s="426"/>
      <c r="E2" s="426"/>
      <c r="F2" s="426"/>
      <c r="G2" s="426"/>
      <c r="H2" s="426"/>
      <c r="I2" s="427"/>
      <c r="J2" s="223"/>
    </row>
    <row r="3" spans="1:10">
      <c r="A3" s="222"/>
      <c r="B3" s="428"/>
      <c r="C3" s="429"/>
      <c r="D3" s="429"/>
      <c r="E3" s="429"/>
      <c r="F3" s="429"/>
      <c r="G3" s="429"/>
      <c r="H3" s="429"/>
      <c r="I3" s="430"/>
      <c r="J3" s="223"/>
    </row>
    <row r="4" spans="1:10" ht="15" customHeight="1">
      <c r="A4" s="222"/>
      <c r="B4" s="245"/>
      <c r="C4" s="440" t="s">
        <v>410</v>
      </c>
      <c r="D4" s="440"/>
      <c r="E4" s="440"/>
      <c r="F4" s="440"/>
      <c r="G4" s="440"/>
      <c r="H4" s="440"/>
      <c r="I4" s="441"/>
      <c r="J4" s="223"/>
    </row>
    <row r="5" spans="1:10" ht="23.25" customHeight="1">
      <c r="A5" s="222"/>
      <c r="B5" s="245"/>
      <c r="C5" s="440"/>
      <c r="D5" s="440"/>
      <c r="E5" s="440"/>
      <c r="F5" s="440"/>
      <c r="G5" s="440"/>
      <c r="H5" s="440"/>
      <c r="I5" s="441"/>
      <c r="J5" s="223"/>
    </row>
    <row r="6" spans="1:10" ht="19.5" customHeight="1">
      <c r="A6" s="222"/>
      <c r="B6" s="246"/>
      <c r="C6" s="444" t="s">
        <v>261</v>
      </c>
      <c r="D6" s="444"/>
      <c r="E6" s="444"/>
      <c r="F6" s="444"/>
      <c r="G6" s="444"/>
      <c r="H6" s="444"/>
      <c r="I6" s="445"/>
      <c r="J6" s="223"/>
    </row>
    <row r="7" spans="1:10" ht="23.25" customHeight="1">
      <c r="A7" s="222"/>
      <c r="B7" s="246"/>
      <c r="C7" s="442" t="s">
        <v>341</v>
      </c>
      <c r="D7" s="442"/>
      <c r="E7" s="442"/>
      <c r="F7" s="442"/>
      <c r="G7" s="442"/>
      <c r="H7" s="442"/>
      <c r="I7" s="443"/>
      <c r="J7" s="223"/>
    </row>
    <row r="8" spans="1:10" ht="17.100000000000001" customHeight="1" thickBot="1">
      <c r="A8" s="222"/>
      <c r="B8" s="433" t="str">
        <f>'planilha de orçamento'!H10</f>
        <v>DATA:15/09/2018</v>
      </c>
      <c r="C8" s="434"/>
      <c r="D8" s="26"/>
      <c r="E8" s="26"/>
      <c r="F8" s="27"/>
      <c r="G8" s="28"/>
      <c r="H8" s="435" t="s">
        <v>88</v>
      </c>
      <c r="I8" s="436"/>
      <c r="J8" s="223"/>
    </row>
    <row r="9" spans="1:10" ht="17.100000000000001" customHeight="1">
      <c r="A9" s="222"/>
      <c r="B9" s="29"/>
      <c r="C9" s="30"/>
      <c r="D9" s="30"/>
      <c r="E9" s="30"/>
      <c r="F9" s="30"/>
      <c r="G9" s="30"/>
      <c r="H9" s="30"/>
      <c r="I9" s="30"/>
      <c r="J9" s="223"/>
    </row>
    <row r="10" spans="1:10">
      <c r="A10" s="222"/>
      <c r="B10" s="431" t="s">
        <v>0</v>
      </c>
      <c r="C10" s="431" t="s">
        <v>8</v>
      </c>
      <c r="D10" s="431" t="s">
        <v>9</v>
      </c>
      <c r="E10" s="31" t="s">
        <v>10</v>
      </c>
      <c r="F10" s="431" t="s">
        <v>25</v>
      </c>
      <c r="G10" s="431" t="s">
        <v>26</v>
      </c>
      <c r="H10" s="431" t="s">
        <v>27</v>
      </c>
      <c r="I10" s="431" t="s">
        <v>28</v>
      </c>
      <c r="J10" s="223"/>
    </row>
    <row r="11" spans="1:10">
      <c r="A11" s="222"/>
      <c r="B11" s="432"/>
      <c r="C11" s="432"/>
      <c r="D11" s="432"/>
      <c r="E11" s="31" t="s">
        <v>11</v>
      </c>
      <c r="F11" s="432"/>
      <c r="G11" s="432"/>
      <c r="H11" s="432"/>
      <c r="I11" s="432"/>
      <c r="J11" s="223"/>
    </row>
    <row r="12" spans="1:10" hidden="1">
      <c r="A12" s="222"/>
      <c r="B12" s="298">
        <v>1</v>
      </c>
      <c r="C12" s="295" t="s">
        <v>102</v>
      </c>
      <c r="D12" s="290">
        <f>E12/$E$61+0.00001</f>
        <v>1.0000000000000001E-5</v>
      </c>
      <c r="E12" s="422">
        <f>'planilha de orçamento'!I17</f>
        <v>0</v>
      </c>
      <c r="F12" s="32"/>
      <c r="G12" s="32"/>
      <c r="H12" s="32"/>
      <c r="I12" s="32"/>
      <c r="J12" s="223"/>
    </row>
    <row r="13" spans="1:10" hidden="1">
      <c r="A13" s="222"/>
      <c r="B13" s="299"/>
      <c r="C13" s="296"/>
      <c r="D13" s="290"/>
      <c r="E13" s="423"/>
      <c r="F13" s="34">
        <v>0.25</v>
      </c>
      <c r="G13" s="34">
        <v>0.25</v>
      </c>
      <c r="H13" s="34">
        <v>0.25</v>
      </c>
      <c r="I13" s="35">
        <v>0.25</v>
      </c>
      <c r="J13" s="223"/>
    </row>
    <row r="14" spans="1:10" hidden="1">
      <c r="A14" s="222"/>
      <c r="B14" s="300"/>
      <c r="C14" s="297"/>
      <c r="D14" s="290"/>
      <c r="E14" s="424"/>
      <c r="F14" s="36">
        <f>(F13*E12)</f>
        <v>0</v>
      </c>
      <c r="G14" s="36">
        <f>(G13*E12)</f>
        <v>0</v>
      </c>
      <c r="H14" s="36">
        <f>(H13*E12)</f>
        <v>0</v>
      </c>
      <c r="I14" s="37">
        <f>(I13*E12)</f>
        <v>0</v>
      </c>
      <c r="J14" s="223"/>
    </row>
    <row r="15" spans="1:10">
      <c r="A15" s="222"/>
      <c r="B15" s="298">
        <v>1</v>
      </c>
      <c r="C15" s="295" t="s">
        <v>12</v>
      </c>
      <c r="D15" s="290">
        <f>E15/$E$61+0.00001</f>
        <v>4.9065629533284708E-2</v>
      </c>
      <c r="E15" s="422">
        <f>'planilha de orçamento'!I21</f>
        <v>5296.42</v>
      </c>
      <c r="F15" s="32"/>
      <c r="G15" s="90"/>
      <c r="H15" s="33"/>
      <c r="I15" s="33"/>
      <c r="J15" s="223"/>
    </row>
    <row r="16" spans="1:10">
      <c r="A16" s="222"/>
      <c r="B16" s="299"/>
      <c r="C16" s="296"/>
      <c r="D16" s="290"/>
      <c r="E16" s="423"/>
      <c r="F16" s="34">
        <v>1</v>
      </c>
      <c r="G16" s="34"/>
      <c r="H16" s="35"/>
      <c r="I16" s="35"/>
      <c r="J16" s="223"/>
    </row>
    <row r="17" spans="1:10">
      <c r="A17" s="222"/>
      <c r="B17" s="300"/>
      <c r="C17" s="297"/>
      <c r="D17" s="290"/>
      <c r="E17" s="424"/>
      <c r="F17" s="36">
        <f>(F16*E15)</f>
        <v>5296.42</v>
      </c>
      <c r="G17" s="37"/>
      <c r="H17" s="38"/>
      <c r="I17" s="37"/>
      <c r="J17" s="223"/>
    </row>
    <row r="18" spans="1:10">
      <c r="A18" s="222"/>
      <c r="B18" s="298">
        <v>2</v>
      </c>
      <c r="C18" s="295" t="s">
        <v>13</v>
      </c>
      <c r="D18" s="290">
        <f>E18/$E$61</f>
        <v>5.9620648073360309E-3</v>
      </c>
      <c r="E18" s="422">
        <f>'planilha de orçamento'!I26</f>
        <v>643.71</v>
      </c>
      <c r="F18" s="39"/>
      <c r="G18" s="40"/>
      <c r="H18" s="41"/>
      <c r="I18" s="42"/>
      <c r="J18" s="223"/>
    </row>
    <row r="19" spans="1:10">
      <c r="A19" s="222"/>
      <c r="B19" s="299"/>
      <c r="C19" s="296"/>
      <c r="D19" s="290"/>
      <c r="E19" s="423"/>
      <c r="F19" s="34">
        <v>1</v>
      </c>
      <c r="G19" s="34"/>
      <c r="H19" s="35"/>
      <c r="I19" s="35"/>
      <c r="J19" s="223"/>
    </row>
    <row r="20" spans="1:10">
      <c r="A20" s="222"/>
      <c r="B20" s="300"/>
      <c r="C20" s="297"/>
      <c r="D20" s="290"/>
      <c r="E20" s="424"/>
      <c r="F20" s="36">
        <f>F19*E18</f>
        <v>643.71</v>
      </c>
      <c r="G20" s="36"/>
      <c r="H20" s="38"/>
      <c r="I20" s="37"/>
      <c r="J20" s="223"/>
    </row>
    <row r="21" spans="1:10">
      <c r="A21" s="222"/>
      <c r="B21" s="298">
        <v>3</v>
      </c>
      <c r="C21" s="295" t="s">
        <v>80</v>
      </c>
      <c r="D21" s="290">
        <f>E21/$E$61</f>
        <v>9.0579742360702847E-2</v>
      </c>
      <c r="E21" s="422">
        <f>'planilha de orçamento'!I36</f>
        <v>9779.68</v>
      </c>
      <c r="F21" s="43"/>
      <c r="G21" s="437"/>
      <c r="H21" s="416"/>
      <c r="I21" s="42"/>
      <c r="J21" s="223"/>
    </row>
    <row r="22" spans="1:10">
      <c r="A22" s="222"/>
      <c r="B22" s="299"/>
      <c r="C22" s="296"/>
      <c r="D22" s="290"/>
      <c r="E22" s="423"/>
      <c r="F22" s="34">
        <v>1</v>
      </c>
      <c r="G22" s="438"/>
      <c r="H22" s="417"/>
      <c r="I22" s="35"/>
      <c r="J22" s="223"/>
    </row>
    <row r="23" spans="1:10">
      <c r="A23" s="222"/>
      <c r="B23" s="300"/>
      <c r="C23" s="297"/>
      <c r="D23" s="290"/>
      <c r="E23" s="424"/>
      <c r="F23" s="36">
        <f>F22*E21</f>
        <v>9779.68</v>
      </c>
      <c r="G23" s="439"/>
      <c r="H23" s="418"/>
      <c r="I23" s="37"/>
      <c r="J23" s="223"/>
    </row>
    <row r="24" spans="1:10">
      <c r="A24" s="222"/>
      <c r="B24" s="298">
        <v>4</v>
      </c>
      <c r="C24" s="295" t="s">
        <v>29</v>
      </c>
      <c r="D24" s="290">
        <f>E24/$E$61</f>
        <v>7.8396460995538708E-2</v>
      </c>
      <c r="E24" s="422">
        <f>'planilha de orçamento'!I44</f>
        <v>8464.2800000000007</v>
      </c>
      <c r="F24" s="43"/>
      <c r="G24" s="437"/>
      <c r="H24" s="416"/>
      <c r="I24" s="42"/>
      <c r="J24" s="223"/>
    </row>
    <row r="25" spans="1:10">
      <c r="A25" s="222"/>
      <c r="B25" s="299"/>
      <c r="C25" s="296"/>
      <c r="D25" s="290"/>
      <c r="E25" s="423"/>
      <c r="F25" s="34">
        <v>1</v>
      </c>
      <c r="G25" s="438"/>
      <c r="H25" s="417"/>
      <c r="I25" s="35"/>
      <c r="J25" s="223"/>
    </row>
    <row r="26" spans="1:10">
      <c r="A26" s="222"/>
      <c r="B26" s="300"/>
      <c r="C26" s="297"/>
      <c r="D26" s="290"/>
      <c r="E26" s="424"/>
      <c r="F26" s="36">
        <f>F25*E24</f>
        <v>8464.2800000000007</v>
      </c>
      <c r="G26" s="439"/>
      <c r="H26" s="418"/>
      <c r="I26" s="37"/>
      <c r="J26" s="223"/>
    </row>
    <row r="27" spans="1:10">
      <c r="A27" s="222"/>
      <c r="B27" s="298">
        <v>5</v>
      </c>
      <c r="C27" s="295" t="s">
        <v>81</v>
      </c>
      <c r="D27" s="290">
        <f>E27/$E$61</f>
        <v>4.49180930793953E-3</v>
      </c>
      <c r="E27" s="423">
        <f>'planilha de orçamento'!I47</f>
        <v>484.97</v>
      </c>
      <c r="F27" s="43"/>
      <c r="G27" s="437"/>
      <c r="H27" s="416"/>
      <c r="I27" s="42"/>
      <c r="J27" s="223"/>
    </row>
    <row r="28" spans="1:10">
      <c r="A28" s="222"/>
      <c r="B28" s="299"/>
      <c r="C28" s="296"/>
      <c r="D28" s="290"/>
      <c r="E28" s="423"/>
      <c r="F28" s="34">
        <v>1</v>
      </c>
      <c r="G28" s="438"/>
      <c r="H28" s="417"/>
      <c r="I28" s="35"/>
      <c r="J28" s="223"/>
    </row>
    <row r="29" spans="1:10">
      <c r="A29" s="222"/>
      <c r="B29" s="300"/>
      <c r="C29" s="297"/>
      <c r="D29" s="290"/>
      <c r="E29" s="424"/>
      <c r="F29" s="36">
        <f>F28*E27</f>
        <v>484.97</v>
      </c>
      <c r="G29" s="439"/>
      <c r="H29" s="418"/>
      <c r="I29" s="37"/>
      <c r="J29" s="223"/>
    </row>
    <row r="30" spans="1:10">
      <c r="A30" s="222"/>
      <c r="B30" s="298">
        <v>6</v>
      </c>
      <c r="C30" s="295" t="s">
        <v>82</v>
      </c>
      <c r="D30" s="290">
        <f>E30/$E$61</f>
        <v>0.11842799681824634</v>
      </c>
      <c r="E30" s="422">
        <f>'planilha de orçamento'!I53</f>
        <v>12786.390000000001</v>
      </c>
      <c r="F30" s="43"/>
      <c r="G30" s="437"/>
      <c r="H30" s="416"/>
      <c r="I30" s="42"/>
      <c r="J30" s="223"/>
    </row>
    <row r="31" spans="1:10">
      <c r="A31" s="222"/>
      <c r="B31" s="299"/>
      <c r="C31" s="296"/>
      <c r="D31" s="290"/>
      <c r="E31" s="423"/>
      <c r="F31" s="34">
        <v>1</v>
      </c>
      <c r="G31" s="438"/>
      <c r="H31" s="417"/>
      <c r="I31" s="35"/>
      <c r="J31" s="223"/>
    </row>
    <row r="32" spans="1:10">
      <c r="A32" s="222"/>
      <c r="B32" s="300"/>
      <c r="C32" s="297"/>
      <c r="D32" s="290"/>
      <c r="E32" s="424"/>
      <c r="F32" s="36">
        <f>F31*E30</f>
        <v>12786.390000000001</v>
      </c>
      <c r="G32" s="439"/>
      <c r="H32" s="418"/>
      <c r="I32" s="37"/>
      <c r="J32" s="223"/>
    </row>
    <row r="33" spans="1:10">
      <c r="A33" s="222"/>
      <c r="B33" s="298">
        <v>7</v>
      </c>
      <c r="C33" s="419" t="s">
        <v>14</v>
      </c>
      <c r="D33" s="290">
        <f>E33/$E$61</f>
        <v>0.14687207801307203</v>
      </c>
      <c r="E33" s="422">
        <f>'planilha de orçamento'!I59</f>
        <v>15857.43</v>
      </c>
      <c r="F33" s="44"/>
      <c r="G33" s="47"/>
      <c r="H33" s="48"/>
      <c r="I33" s="49"/>
      <c r="J33" s="223"/>
    </row>
    <row r="34" spans="1:10">
      <c r="A34" s="222"/>
      <c r="B34" s="299"/>
      <c r="C34" s="420"/>
      <c r="D34" s="290"/>
      <c r="E34" s="423"/>
      <c r="F34" s="35">
        <v>1</v>
      </c>
      <c r="G34" s="35"/>
      <c r="H34" s="46"/>
      <c r="I34" s="46"/>
      <c r="J34" s="223"/>
    </row>
    <row r="35" spans="1:10">
      <c r="A35" s="222"/>
      <c r="B35" s="300"/>
      <c r="C35" s="421"/>
      <c r="D35" s="290"/>
      <c r="E35" s="424"/>
      <c r="F35" s="37">
        <f>F34*E33</f>
        <v>15857.43</v>
      </c>
      <c r="G35" s="37"/>
      <c r="H35" s="50"/>
      <c r="I35" s="50"/>
      <c r="J35" s="223"/>
    </row>
    <row r="36" spans="1:10">
      <c r="A36" s="222"/>
      <c r="B36" s="298">
        <v>8</v>
      </c>
      <c r="C36" s="295" t="s">
        <v>15</v>
      </c>
      <c r="D36" s="290">
        <f>E36/$E$61</f>
        <v>7.9220226424014967E-2</v>
      </c>
      <c r="E36" s="422">
        <f>'planilha de orçamento'!I65</f>
        <v>8553.2199999999993</v>
      </c>
      <c r="F36" s="45"/>
      <c r="G36" s="44"/>
      <c r="H36" s="416"/>
      <c r="I36" s="47"/>
      <c r="J36" s="223"/>
    </row>
    <row r="37" spans="1:10">
      <c r="A37" s="222"/>
      <c r="B37" s="299"/>
      <c r="C37" s="296"/>
      <c r="D37" s="290"/>
      <c r="E37" s="423"/>
      <c r="F37" s="35"/>
      <c r="G37" s="45">
        <v>1</v>
      </c>
      <c r="H37" s="417"/>
      <c r="I37" s="35"/>
      <c r="J37" s="223"/>
    </row>
    <row r="38" spans="1:10">
      <c r="A38" s="222"/>
      <c r="B38" s="300"/>
      <c r="C38" s="296"/>
      <c r="D38" s="290"/>
      <c r="E38" s="424"/>
      <c r="F38" s="85"/>
      <c r="G38" s="37">
        <f>G37*E36</f>
        <v>8553.2199999999993</v>
      </c>
      <c r="H38" s="418"/>
      <c r="I38" s="37"/>
      <c r="J38" s="223"/>
    </row>
    <row r="39" spans="1:10">
      <c r="A39" s="222"/>
      <c r="B39" s="298">
        <v>9</v>
      </c>
      <c r="C39" s="295" t="s">
        <v>270</v>
      </c>
      <c r="D39" s="290">
        <f>E39/$E$61</f>
        <v>3.5806287893580195E-2</v>
      </c>
      <c r="E39" s="422">
        <f>'planilha de orçamento'!I69</f>
        <v>3865.92</v>
      </c>
      <c r="F39" s="45"/>
      <c r="G39" s="44"/>
      <c r="H39" s="416"/>
      <c r="I39" s="47"/>
      <c r="J39" s="223"/>
    </row>
    <row r="40" spans="1:10">
      <c r="A40" s="222"/>
      <c r="B40" s="299"/>
      <c r="C40" s="296"/>
      <c r="D40" s="290"/>
      <c r="E40" s="423"/>
      <c r="F40" s="35"/>
      <c r="G40" s="45">
        <v>1</v>
      </c>
      <c r="H40" s="417"/>
      <c r="I40" s="35"/>
      <c r="J40" s="223"/>
    </row>
    <row r="41" spans="1:10">
      <c r="A41" s="222"/>
      <c r="B41" s="300"/>
      <c r="C41" s="296"/>
      <c r="D41" s="290"/>
      <c r="E41" s="424"/>
      <c r="F41" s="85"/>
      <c r="G41" s="37">
        <f>G40*E39</f>
        <v>3865.92</v>
      </c>
      <c r="H41" s="418"/>
      <c r="I41" s="37"/>
      <c r="J41" s="223"/>
    </row>
    <row r="42" spans="1:10">
      <c r="A42" s="222"/>
      <c r="B42" s="298">
        <v>10</v>
      </c>
      <c r="C42" s="295" t="s">
        <v>85</v>
      </c>
      <c r="D42" s="290">
        <f>E42/$E$61</f>
        <v>5.3143891958846098E-2</v>
      </c>
      <c r="E42" s="422">
        <f>'planilha de orçamento'!I76</f>
        <v>5737.82</v>
      </c>
      <c r="F42" s="34"/>
      <c r="G42" s="44"/>
      <c r="H42" s="416"/>
      <c r="I42" s="47"/>
      <c r="J42" s="223"/>
    </row>
    <row r="43" spans="1:10">
      <c r="A43" s="222"/>
      <c r="B43" s="299"/>
      <c r="C43" s="296"/>
      <c r="D43" s="290"/>
      <c r="E43" s="423"/>
      <c r="F43" s="35"/>
      <c r="G43" s="45">
        <v>1</v>
      </c>
      <c r="H43" s="417"/>
      <c r="I43" s="35"/>
      <c r="J43" s="223"/>
    </row>
    <row r="44" spans="1:10">
      <c r="A44" s="222"/>
      <c r="B44" s="300"/>
      <c r="C44" s="296"/>
      <c r="D44" s="290"/>
      <c r="E44" s="424"/>
      <c r="F44" s="35"/>
      <c r="G44" s="37">
        <f>G43*E42</f>
        <v>5737.82</v>
      </c>
      <c r="H44" s="418"/>
      <c r="I44" s="37"/>
      <c r="J44" s="223"/>
    </row>
    <row r="45" spans="1:10">
      <c r="A45" s="222"/>
      <c r="B45" s="298">
        <v>11</v>
      </c>
      <c r="C45" s="419" t="s">
        <v>30</v>
      </c>
      <c r="D45" s="290">
        <f>E45/$E$61</f>
        <v>5.8677946995905506E-2</v>
      </c>
      <c r="E45" s="422">
        <f>'planilha de orçamento'!I82</f>
        <v>6335.3188</v>
      </c>
      <c r="F45" s="51"/>
      <c r="G45" s="416"/>
      <c r="H45" s="44"/>
      <c r="I45" s="44"/>
      <c r="J45" s="223"/>
    </row>
    <row r="46" spans="1:10">
      <c r="A46" s="222"/>
      <c r="B46" s="299"/>
      <c r="C46" s="420"/>
      <c r="D46" s="290"/>
      <c r="E46" s="423"/>
      <c r="F46" s="34"/>
      <c r="G46" s="417"/>
      <c r="H46" s="35">
        <v>0.5</v>
      </c>
      <c r="I46" s="35">
        <v>0.5</v>
      </c>
      <c r="J46" s="223"/>
    </row>
    <row r="47" spans="1:10">
      <c r="A47" s="222"/>
      <c r="B47" s="300"/>
      <c r="C47" s="421"/>
      <c r="D47" s="290"/>
      <c r="E47" s="424"/>
      <c r="F47" s="36"/>
      <c r="G47" s="418"/>
      <c r="H47" s="38">
        <f>H46*E45</f>
        <v>3167.6594</v>
      </c>
      <c r="I47" s="38">
        <f>I46*E45</f>
        <v>3167.6594</v>
      </c>
      <c r="J47" s="223"/>
    </row>
    <row r="48" spans="1:10">
      <c r="A48" s="222"/>
      <c r="B48" s="298">
        <v>12</v>
      </c>
      <c r="C48" s="419" t="s">
        <v>16</v>
      </c>
      <c r="D48" s="290">
        <f>E48/$E$61</f>
        <v>4.0640051548487835E-2</v>
      </c>
      <c r="E48" s="422">
        <f>'planilha de orçamento'!I87</f>
        <v>4387.8099999999995</v>
      </c>
      <c r="F48" s="51"/>
      <c r="G48" s="44"/>
      <c r="H48" s="44"/>
      <c r="I48" s="44"/>
      <c r="J48" s="223"/>
    </row>
    <row r="49" spans="1:10">
      <c r="A49" s="222"/>
      <c r="B49" s="299"/>
      <c r="C49" s="420"/>
      <c r="D49" s="290"/>
      <c r="E49" s="423"/>
      <c r="F49" s="34"/>
      <c r="G49" s="45">
        <v>0.2</v>
      </c>
      <c r="H49" s="45">
        <v>0.4</v>
      </c>
      <c r="I49" s="35">
        <v>0.4</v>
      </c>
      <c r="J49" s="223"/>
    </row>
    <row r="50" spans="1:10">
      <c r="A50" s="222"/>
      <c r="B50" s="300"/>
      <c r="C50" s="421"/>
      <c r="D50" s="290"/>
      <c r="E50" s="424"/>
      <c r="F50" s="36"/>
      <c r="G50" s="37">
        <f>G49*E48</f>
        <v>877.5619999999999</v>
      </c>
      <c r="H50" s="37">
        <f>H49*E48</f>
        <v>1755.1239999999998</v>
      </c>
      <c r="I50" s="38">
        <f>I49*E48</f>
        <v>1755.1239999999998</v>
      </c>
      <c r="J50" s="223"/>
    </row>
    <row r="51" spans="1:10">
      <c r="A51" s="222"/>
      <c r="B51" s="298">
        <v>13</v>
      </c>
      <c r="C51" s="295" t="s">
        <v>87</v>
      </c>
      <c r="D51" s="290">
        <f>E51/$E$61</f>
        <v>0.16773055221529512</v>
      </c>
      <c r="E51" s="422">
        <f>'planilha de orçamento'!I140</f>
        <v>18109.47</v>
      </c>
      <c r="F51" s="51"/>
      <c r="G51" s="44"/>
      <c r="H51" s="44"/>
      <c r="I51" s="44"/>
      <c r="J51" s="223"/>
    </row>
    <row r="52" spans="1:10">
      <c r="A52" s="222"/>
      <c r="B52" s="299"/>
      <c r="C52" s="296"/>
      <c r="D52" s="290"/>
      <c r="E52" s="423"/>
      <c r="F52" s="34"/>
      <c r="G52" s="45">
        <v>0.2</v>
      </c>
      <c r="H52" s="45">
        <v>0.4</v>
      </c>
      <c r="I52" s="35">
        <v>0.4</v>
      </c>
      <c r="J52" s="223"/>
    </row>
    <row r="53" spans="1:10">
      <c r="A53" s="222"/>
      <c r="B53" s="300"/>
      <c r="C53" s="297"/>
      <c r="D53" s="290"/>
      <c r="E53" s="424"/>
      <c r="F53" s="36"/>
      <c r="G53" s="37">
        <f>G52*E51</f>
        <v>3621.8940000000002</v>
      </c>
      <c r="H53" s="37">
        <f>H52*E51</f>
        <v>7243.7880000000005</v>
      </c>
      <c r="I53" s="38">
        <f>I52*E51</f>
        <v>7243.7880000000005</v>
      </c>
      <c r="J53" s="223"/>
    </row>
    <row r="54" spans="1:10">
      <c r="A54" s="222"/>
      <c r="B54" s="298">
        <v>14</v>
      </c>
      <c r="C54" s="295" t="s">
        <v>135</v>
      </c>
      <c r="D54" s="290">
        <f>E54/$E$61</f>
        <v>6.8560086780381363E-2</v>
      </c>
      <c r="E54" s="422">
        <f>'planilha de orçamento'!I166</f>
        <v>7402.2700000000023</v>
      </c>
      <c r="F54" s="51"/>
      <c r="G54" s="44"/>
      <c r="H54" s="44"/>
      <c r="I54" s="44"/>
      <c r="J54" s="223"/>
    </row>
    <row r="55" spans="1:10">
      <c r="A55" s="222"/>
      <c r="B55" s="299"/>
      <c r="C55" s="296"/>
      <c r="D55" s="290"/>
      <c r="E55" s="423"/>
      <c r="F55" s="34"/>
      <c r="G55" s="45">
        <v>0.1</v>
      </c>
      <c r="H55" s="45">
        <v>0.4</v>
      </c>
      <c r="I55" s="35">
        <v>0.5</v>
      </c>
      <c r="J55" s="223"/>
    </row>
    <row r="56" spans="1:10">
      <c r="A56" s="222"/>
      <c r="B56" s="300"/>
      <c r="C56" s="297"/>
      <c r="D56" s="290"/>
      <c r="E56" s="424"/>
      <c r="F56" s="36"/>
      <c r="G56" s="37">
        <f>G55*E54</f>
        <v>740.22700000000032</v>
      </c>
      <c r="H56" s="37">
        <f>H55*E54</f>
        <v>2960.9080000000013</v>
      </c>
      <c r="I56" s="38">
        <f>I55*E54</f>
        <v>3701.1350000000011</v>
      </c>
      <c r="J56" s="223"/>
    </row>
    <row r="57" spans="1:10" ht="14.25" customHeight="1">
      <c r="A57" s="222"/>
      <c r="B57" s="298">
        <v>15</v>
      </c>
      <c r="C57" s="181"/>
      <c r="D57" s="318">
        <f>E57/$E$61</f>
        <v>2.4351743473688295E-3</v>
      </c>
      <c r="E57" s="422">
        <f>'planilha de orçamento'!I169</f>
        <v>262.92</v>
      </c>
      <c r="F57" s="51"/>
      <c r="G57" s="86"/>
      <c r="H57" s="52"/>
      <c r="I57" s="39"/>
      <c r="J57" s="223"/>
    </row>
    <row r="58" spans="1:10" ht="21" customHeight="1">
      <c r="A58" s="222"/>
      <c r="B58" s="299"/>
      <c r="C58" s="182" t="s">
        <v>226</v>
      </c>
      <c r="D58" s="447"/>
      <c r="E58" s="423"/>
      <c r="F58" s="34"/>
      <c r="G58" s="34"/>
      <c r="H58" s="34"/>
      <c r="I58" s="45">
        <v>1</v>
      </c>
      <c r="J58" s="223"/>
    </row>
    <row r="59" spans="1:10" ht="13.5" thickBot="1">
      <c r="A59" s="222"/>
      <c r="B59" s="300"/>
      <c r="C59" s="87"/>
      <c r="D59" s="448"/>
      <c r="E59" s="449"/>
      <c r="F59" s="88"/>
      <c r="G59" s="88"/>
      <c r="H59" s="88"/>
      <c r="I59" s="89">
        <f>I58*E57</f>
        <v>262.92</v>
      </c>
      <c r="J59" s="223"/>
    </row>
    <row r="60" spans="1:10" ht="13.5" thickTop="1">
      <c r="A60" s="222"/>
      <c r="B60" s="450" t="s">
        <v>17</v>
      </c>
      <c r="C60" s="451"/>
      <c r="D60" s="53">
        <v>0</v>
      </c>
      <c r="E60" s="53">
        <v>0</v>
      </c>
      <c r="F60" s="37">
        <f>SUM(F14,F17,F20,F23,F26,F29,F32,F35)</f>
        <v>53312.880000000005</v>
      </c>
      <c r="G60" s="37">
        <f>SUM(G56,G53,G50,G44,G38,G14+G41)</f>
        <v>23396.642999999996</v>
      </c>
      <c r="H60" s="37">
        <f>SUM(H56,H53,H50,H47,H14)</f>
        <v>15127.479400000002</v>
      </c>
      <c r="I60" s="37">
        <f>SUM(I59,I56,I53,I50,I47,I14)</f>
        <v>16130.626400000001</v>
      </c>
      <c r="J60" s="223"/>
    </row>
    <row r="61" spans="1:10">
      <c r="A61" s="222"/>
      <c r="B61" s="450" t="s">
        <v>18</v>
      </c>
      <c r="C61" s="451"/>
      <c r="D61" s="54">
        <f>SUM(D12:D60)</f>
        <v>1.0000200000000001</v>
      </c>
      <c r="E61" s="55">
        <f>SUM(E12:E59)</f>
        <v>107967.62879999999</v>
      </c>
      <c r="F61" s="56">
        <f>+F60</f>
        <v>53312.880000000005</v>
      </c>
      <c r="G61" s="56">
        <f>+F61+G60</f>
        <v>76709.523000000001</v>
      </c>
      <c r="H61" s="56">
        <f>+G61+H60</f>
        <v>91837.002399999998</v>
      </c>
      <c r="I61" s="56">
        <f>+H61+I60</f>
        <v>107967.62880000001</v>
      </c>
      <c r="J61" s="223"/>
    </row>
    <row r="62" spans="1:10">
      <c r="A62" s="222"/>
      <c r="B62" s="227"/>
      <c r="C62" s="227"/>
      <c r="D62" s="227"/>
      <c r="E62" s="227"/>
      <c r="F62" s="227"/>
      <c r="G62" s="227"/>
      <c r="H62" s="227"/>
      <c r="I62" s="227"/>
      <c r="J62" s="223"/>
    </row>
    <row r="63" spans="1:10">
      <c r="A63" s="222"/>
      <c r="B63" s="227" t="s">
        <v>19</v>
      </c>
      <c r="C63" s="228"/>
      <c r="D63" s="228"/>
      <c r="E63" s="228"/>
      <c r="F63" s="227"/>
      <c r="G63" s="227"/>
      <c r="H63" s="227"/>
      <c r="I63" s="227"/>
      <c r="J63" s="223"/>
    </row>
    <row r="64" spans="1:10">
      <c r="A64" s="222"/>
      <c r="B64" s="227"/>
      <c r="C64" s="227" t="s">
        <v>20</v>
      </c>
      <c r="D64" s="227"/>
      <c r="E64" s="227"/>
      <c r="F64" s="229"/>
      <c r="G64" s="229"/>
      <c r="H64" s="227"/>
      <c r="I64" s="227"/>
      <c r="J64" s="223"/>
    </row>
    <row r="65" spans="1:10">
      <c r="A65" s="222"/>
      <c r="B65" s="25"/>
      <c r="C65" s="25"/>
      <c r="D65" s="25"/>
      <c r="E65" s="25"/>
      <c r="F65" s="25"/>
      <c r="G65" s="25"/>
      <c r="H65" s="25"/>
      <c r="I65" s="25"/>
      <c r="J65" s="223"/>
    </row>
    <row r="66" spans="1:10" ht="13.5" thickBot="1">
      <c r="A66" s="224"/>
      <c r="B66" s="27"/>
      <c r="C66" s="27"/>
      <c r="D66" s="27"/>
      <c r="E66" s="452"/>
      <c r="F66" s="452"/>
      <c r="G66" s="452"/>
      <c r="H66" s="27"/>
      <c r="I66" s="27"/>
      <c r="J66" s="225"/>
    </row>
    <row r="67" spans="1:10">
      <c r="D67" s="25"/>
      <c r="E67" s="444"/>
      <c r="F67" s="444"/>
      <c r="G67" s="444"/>
      <c r="H67" s="25"/>
    </row>
    <row r="68" spans="1:10">
      <c r="E68" s="446"/>
      <c r="F68" s="446"/>
      <c r="G68" s="446"/>
    </row>
  </sheetData>
  <mergeCells count="93">
    <mergeCell ref="C4:I5"/>
    <mergeCell ref="C7:I7"/>
    <mergeCell ref="C6:I6"/>
    <mergeCell ref="E68:G68"/>
    <mergeCell ref="D57:D59"/>
    <mergeCell ref="E57:E59"/>
    <mergeCell ref="B60:C60"/>
    <mergeCell ref="B61:C61"/>
    <mergeCell ref="E66:G66"/>
    <mergeCell ref="E67:G67"/>
    <mergeCell ref="G24:G26"/>
    <mergeCell ref="H24:H26"/>
    <mergeCell ref="H36:H38"/>
    <mergeCell ref="D27:D29"/>
    <mergeCell ref="E27:E29"/>
    <mergeCell ref="G27:G29"/>
    <mergeCell ref="E36:E38"/>
    <mergeCell ref="D36:D38"/>
    <mergeCell ref="D30:D32"/>
    <mergeCell ref="E30:E32"/>
    <mergeCell ref="G30:G32"/>
    <mergeCell ref="H27:H29"/>
    <mergeCell ref="D24:D26"/>
    <mergeCell ref="E24:E26"/>
    <mergeCell ref="H30:H32"/>
    <mergeCell ref="B24:B26"/>
    <mergeCell ref="C24:C26"/>
    <mergeCell ref="E21:E23"/>
    <mergeCell ref="B27:B29"/>
    <mergeCell ref="C27:C29"/>
    <mergeCell ref="G21:G23"/>
    <mergeCell ref="B30:B32"/>
    <mergeCell ref="C30:C32"/>
    <mergeCell ref="H21:H23"/>
    <mergeCell ref="B2:I3"/>
    <mergeCell ref="B10:B11"/>
    <mergeCell ref="C10:C11"/>
    <mergeCell ref="D10:D11"/>
    <mergeCell ref="F10:F11"/>
    <mergeCell ref="G10:G11"/>
    <mergeCell ref="B8:C8"/>
    <mergeCell ref="B21:B23"/>
    <mergeCell ref="C21:C23"/>
    <mergeCell ref="H8:I8"/>
    <mergeCell ref="H10:H11"/>
    <mergeCell ref="I10:I11"/>
    <mergeCell ref="C15:C17"/>
    <mergeCell ref="B18:B20"/>
    <mergeCell ref="D21:D23"/>
    <mergeCell ref="C51:C53"/>
    <mergeCell ref="D51:D53"/>
    <mergeCell ref="D15:D17"/>
    <mergeCell ref="E15:E17"/>
    <mergeCell ref="B12:B14"/>
    <mergeCell ref="C12:C14"/>
    <mergeCell ref="D12:D14"/>
    <mergeCell ref="E12:E14"/>
    <mergeCell ref="B15:B17"/>
    <mergeCell ref="C18:C20"/>
    <mergeCell ref="D18:D20"/>
    <mergeCell ref="E18:E20"/>
    <mergeCell ref="B33:B35"/>
    <mergeCell ref="C33:C35"/>
    <mergeCell ref="D33:D35"/>
    <mergeCell ref="E33:E35"/>
    <mergeCell ref="E51:E53"/>
    <mergeCell ref="B36:B38"/>
    <mergeCell ref="C36:C38"/>
    <mergeCell ref="B57:B59"/>
    <mergeCell ref="E39:E41"/>
    <mergeCell ref="E54:E56"/>
    <mergeCell ref="B51:B53"/>
    <mergeCell ref="B54:B56"/>
    <mergeCell ref="C54:C56"/>
    <mergeCell ref="D54:D56"/>
    <mergeCell ref="B39:B41"/>
    <mergeCell ref="C39:C41"/>
    <mergeCell ref="D39:D41"/>
    <mergeCell ref="B42:B44"/>
    <mergeCell ref="C42:C44"/>
    <mergeCell ref="D42:D44"/>
    <mergeCell ref="H39:H41"/>
    <mergeCell ref="G45:G47"/>
    <mergeCell ref="D45:D47"/>
    <mergeCell ref="B48:B50"/>
    <mergeCell ref="C48:C50"/>
    <mergeCell ref="D48:D50"/>
    <mergeCell ref="E48:E50"/>
    <mergeCell ref="B45:B47"/>
    <mergeCell ref="C45:C47"/>
    <mergeCell ref="E45:E47"/>
    <mergeCell ref="E42:E44"/>
    <mergeCell ref="H42:H44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topLeftCell="A13" workbookViewId="0">
      <selection activeCell="E33" sqref="E33"/>
    </sheetView>
  </sheetViews>
  <sheetFormatPr defaultRowHeight="12.75"/>
  <cols>
    <col min="1" max="1" width="21.85546875" bestFit="1" customWidth="1"/>
    <col min="2" max="2" width="12.140625" bestFit="1" customWidth="1"/>
    <col min="3" max="3" width="14.140625" bestFit="1" customWidth="1"/>
  </cols>
  <sheetData>
    <row r="1" spans="1:5">
      <c r="A1" t="s">
        <v>165</v>
      </c>
      <c r="B1" t="s">
        <v>166</v>
      </c>
      <c r="C1" t="s">
        <v>167</v>
      </c>
      <c r="D1" t="s">
        <v>192</v>
      </c>
    </row>
    <row r="2" spans="1:5">
      <c r="A2">
        <v>43.63</v>
      </c>
      <c r="B2">
        <v>8.35</v>
      </c>
      <c r="C2">
        <v>8.08</v>
      </c>
      <c r="D2">
        <v>13.12</v>
      </c>
    </row>
    <row r="3" spans="1:5">
      <c r="A3">
        <v>13.21</v>
      </c>
      <c r="B3">
        <v>26.52</v>
      </c>
      <c r="C3">
        <v>1</v>
      </c>
      <c r="D3">
        <v>0.64</v>
      </c>
    </row>
    <row r="4" spans="1:5">
      <c r="A4">
        <v>3.99</v>
      </c>
      <c r="B4">
        <v>8.2100000000000009</v>
      </c>
      <c r="C4">
        <v>0.89</v>
      </c>
      <c r="D4">
        <v>0.48</v>
      </c>
    </row>
    <row r="5" spans="1:5">
      <c r="A5">
        <v>27.54</v>
      </c>
      <c r="B5">
        <v>14.21</v>
      </c>
      <c r="C5">
        <v>0.71</v>
      </c>
      <c r="D5">
        <v>0.16</v>
      </c>
    </row>
    <row r="6" spans="1:5">
      <c r="A6">
        <v>7.48</v>
      </c>
      <c r="B6">
        <v>4.4400000000000004</v>
      </c>
      <c r="C6">
        <v>0.64</v>
      </c>
      <c r="D6">
        <v>1.35</v>
      </c>
    </row>
    <row r="7" spans="1:5">
      <c r="A7">
        <v>29.16</v>
      </c>
      <c r="B7">
        <v>29.32</v>
      </c>
      <c r="C7">
        <v>18.260000000000002</v>
      </c>
      <c r="D7">
        <v>0.64</v>
      </c>
    </row>
    <row r="8" spans="1:5">
      <c r="A8">
        <v>4.24</v>
      </c>
      <c r="B8">
        <v>4.97</v>
      </c>
      <c r="C8">
        <v>9.65</v>
      </c>
      <c r="D8">
        <v>0.48</v>
      </c>
    </row>
    <row r="9" spans="1:5">
      <c r="A9">
        <v>40.869999999999997</v>
      </c>
      <c r="B9">
        <v>2.66</v>
      </c>
      <c r="C9">
        <v>3.45</v>
      </c>
      <c r="D9">
        <v>0.32</v>
      </c>
    </row>
    <row r="10" spans="1:5">
      <c r="A10">
        <v>44.36</v>
      </c>
      <c r="B10">
        <v>8.4600000000000009</v>
      </c>
      <c r="C10">
        <v>8.85</v>
      </c>
      <c r="D10">
        <v>6.4</v>
      </c>
    </row>
    <row r="11" spans="1:5">
      <c r="A11">
        <v>8.35</v>
      </c>
      <c r="B11">
        <v>8.08</v>
      </c>
      <c r="C11">
        <v>2.44</v>
      </c>
      <c r="D11" s="156">
        <f>SUM(D2:D10)</f>
        <v>23.590000000000003</v>
      </c>
      <c r="E11" s="10" t="s">
        <v>157</v>
      </c>
    </row>
    <row r="12" spans="1:5">
      <c r="A12">
        <v>26.52</v>
      </c>
      <c r="B12">
        <v>1</v>
      </c>
      <c r="C12" s="156">
        <f>SUM(C2:C11)</f>
        <v>53.970000000000006</v>
      </c>
      <c r="D12" t="s">
        <v>157</v>
      </c>
    </row>
    <row r="13" spans="1:5">
      <c r="A13">
        <v>8.2100000000000009</v>
      </c>
      <c r="B13">
        <v>0.89</v>
      </c>
    </row>
    <row r="14" spans="1:5">
      <c r="A14">
        <v>14.21</v>
      </c>
      <c r="B14">
        <v>0.71</v>
      </c>
    </row>
    <row r="15" spans="1:5">
      <c r="A15">
        <v>4.4400000000000004</v>
      </c>
      <c r="B15">
        <v>0.64</v>
      </c>
    </row>
    <row r="16" spans="1:5">
      <c r="A16">
        <v>4.97</v>
      </c>
      <c r="B16">
        <v>18.260000000000002</v>
      </c>
    </row>
    <row r="17" spans="1:3">
      <c r="A17">
        <v>2.66</v>
      </c>
      <c r="B17">
        <v>9.65</v>
      </c>
    </row>
    <row r="18" spans="1:3">
      <c r="A18">
        <v>8.4600000000000009</v>
      </c>
      <c r="B18">
        <v>3.45</v>
      </c>
    </row>
    <row r="19" spans="1:3">
      <c r="A19">
        <v>29.32</v>
      </c>
      <c r="B19">
        <v>8.85</v>
      </c>
    </row>
    <row r="20" spans="1:3">
      <c r="A20">
        <v>8.08</v>
      </c>
      <c r="B20">
        <v>2.44</v>
      </c>
    </row>
    <row r="21" spans="1:3">
      <c r="A21">
        <v>1</v>
      </c>
      <c r="B21" s="157">
        <f>SUM(B2:B20)</f>
        <v>161.10999999999996</v>
      </c>
      <c r="C21" t="s">
        <v>157</v>
      </c>
    </row>
    <row r="22" spans="1:3">
      <c r="A22">
        <v>0.89</v>
      </c>
    </row>
    <row r="23" spans="1:3">
      <c r="A23">
        <v>0.71</v>
      </c>
    </row>
    <row r="24" spans="1:3">
      <c r="A24">
        <v>0.64</v>
      </c>
    </row>
    <row r="25" spans="1:3">
      <c r="A25">
        <v>18.260000000000002</v>
      </c>
    </row>
    <row r="27" spans="1:3">
      <c r="A27">
        <v>3.45</v>
      </c>
    </row>
    <row r="28" spans="1:3">
      <c r="A28">
        <v>8.85</v>
      </c>
    </row>
    <row r="29" spans="1:3">
      <c r="A29">
        <v>2.44</v>
      </c>
    </row>
    <row r="30" spans="1:3">
      <c r="A30">
        <v>16.95</v>
      </c>
    </row>
    <row r="31" spans="1:3">
      <c r="A31">
        <v>1.69</v>
      </c>
    </row>
    <row r="32" spans="1:3">
      <c r="A32">
        <v>13.46</v>
      </c>
    </row>
    <row r="33" spans="1:2">
      <c r="A33">
        <v>2.99</v>
      </c>
    </row>
    <row r="34" spans="1:2">
      <c r="A34">
        <v>10.77</v>
      </c>
    </row>
    <row r="35" spans="1:2">
      <c r="A35">
        <v>1.59</v>
      </c>
    </row>
    <row r="36" spans="1:2">
      <c r="A36">
        <v>5.68</v>
      </c>
    </row>
    <row r="37" spans="1:2">
      <c r="A37" s="156">
        <f>SUM(A2:A36)</f>
        <v>419.06999999999988</v>
      </c>
      <c r="B37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50"/>
  <sheetViews>
    <sheetView workbookViewId="0">
      <selection activeCell="S15" sqref="S15"/>
    </sheetView>
  </sheetViews>
  <sheetFormatPr defaultRowHeight="12.75"/>
  <cols>
    <col min="19" max="19" width="11.140625" bestFit="1" customWidth="1"/>
  </cols>
  <sheetData>
    <row r="1" spans="1:20" s="164" customFormat="1">
      <c r="A1" s="162" t="s">
        <v>168</v>
      </c>
      <c r="B1" s="162" t="s">
        <v>169</v>
      </c>
      <c r="C1" s="162" t="s">
        <v>170</v>
      </c>
      <c r="D1" s="162" t="s">
        <v>171</v>
      </c>
      <c r="E1" s="162" t="s">
        <v>172</v>
      </c>
      <c r="F1" s="162" t="s">
        <v>173</v>
      </c>
      <c r="G1" s="162" t="s">
        <v>174</v>
      </c>
      <c r="H1" s="162" t="s">
        <v>175</v>
      </c>
      <c r="I1" s="162" t="s">
        <v>176</v>
      </c>
      <c r="J1" s="162" t="s">
        <v>177</v>
      </c>
      <c r="K1" s="162" t="s">
        <v>178</v>
      </c>
      <c r="L1" s="162" t="s">
        <v>179</v>
      </c>
      <c r="M1" s="162" t="s">
        <v>180</v>
      </c>
      <c r="N1" s="162" t="s">
        <v>181</v>
      </c>
      <c r="O1" s="162" t="s">
        <v>182</v>
      </c>
      <c r="P1" s="162" t="s">
        <v>183</v>
      </c>
      <c r="Q1" s="162" t="s">
        <v>184</v>
      </c>
      <c r="R1" s="162" t="s">
        <v>185</v>
      </c>
      <c r="S1" s="162" t="s">
        <v>186</v>
      </c>
      <c r="T1" s="163"/>
    </row>
    <row r="2" spans="1:20" s="164" customFormat="1">
      <c r="A2" s="165">
        <v>13.44</v>
      </c>
      <c r="B2" s="165">
        <v>10.119999999999999</v>
      </c>
      <c r="C2" s="165">
        <v>9.1</v>
      </c>
      <c r="D2" s="165">
        <v>10.99</v>
      </c>
      <c r="E2" s="165">
        <v>0.6</v>
      </c>
      <c r="F2" s="165">
        <v>0.42</v>
      </c>
      <c r="G2" s="165">
        <v>7.95</v>
      </c>
      <c r="H2" s="165">
        <v>10.99</v>
      </c>
      <c r="I2" s="165">
        <v>10.99</v>
      </c>
      <c r="J2" s="165">
        <v>1.05</v>
      </c>
      <c r="K2" s="165">
        <v>11.42</v>
      </c>
      <c r="L2" s="165">
        <v>11.05</v>
      </c>
      <c r="M2" s="165">
        <v>12.43</v>
      </c>
      <c r="N2" s="165">
        <v>14.21</v>
      </c>
      <c r="O2" s="165">
        <v>0.6</v>
      </c>
      <c r="P2" s="165">
        <v>4.91</v>
      </c>
      <c r="Q2" s="165">
        <v>1.79</v>
      </c>
      <c r="R2" s="165">
        <v>3.52</v>
      </c>
    </row>
    <row r="3" spans="1:20" s="164" customFormat="1">
      <c r="A3" s="165">
        <v>9.35</v>
      </c>
      <c r="B3" s="165">
        <v>11.8</v>
      </c>
      <c r="C3" s="165">
        <v>8.0500000000000007</v>
      </c>
      <c r="D3" s="165">
        <v>7.18</v>
      </c>
      <c r="E3" s="165"/>
      <c r="F3" s="165"/>
      <c r="G3" s="165">
        <v>6.81</v>
      </c>
      <c r="H3" s="165">
        <v>8.9600000000000009</v>
      </c>
      <c r="I3" s="165">
        <v>6.79</v>
      </c>
      <c r="J3" s="165">
        <v>0.72</v>
      </c>
      <c r="K3" s="165">
        <v>9.9700000000000006</v>
      </c>
      <c r="L3" s="165">
        <v>0.43</v>
      </c>
      <c r="M3" s="165">
        <v>6.79</v>
      </c>
      <c r="N3" s="165">
        <v>10.84</v>
      </c>
      <c r="O3" s="165"/>
      <c r="P3" s="165">
        <v>9.02</v>
      </c>
      <c r="Q3" s="165"/>
      <c r="R3" s="165">
        <v>6.24</v>
      </c>
    </row>
    <row r="4" spans="1:20" s="164" customFormat="1">
      <c r="A4" s="165">
        <v>10.119999999999999</v>
      </c>
      <c r="B4" s="165">
        <v>10.119999999999999</v>
      </c>
      <c r="C4" s="165">
        <v>10.99</v>
      </c>
      <c r="D4" s="165">
        <v>10.99</v>
      </c>
      <c r="E4" s="165"/>
      <c r="F4" s="165"/>
      <c r="G4" s="165">
        <v>7.95</v>
      </c>
      <c r="H4" s="165">
        <v>10.99</v>
      </c>
      <c r="I4" s="165">
        <v>10.99</v>
      </c>
      <c r="J4" s="165">
        <v>13.72</v>
      </c>
      <c r="K4" s="165">
        <v>7.52</v>
      </c>
      <c r="L4" s="165">
        <v>3.39</v>
      </c>
      <c r="M4" s="165">
        <v>12.43</v>
      </c>
      <c r="N4" s="165">
        <v>14.21</v>
      </c>
      <c r="O4" s="165"/>
      <c r="P4" s="165">
        <v>3.92</v>
      </c>
      <c r="Q4" s="165"/>
      <c r="R4" s="165">
        <v>2.35</v>
      </c>
    </row>
    <row r="5" spans="1:20" s="164" customFormat="1">
      <c r="A5" s="165">
        <v>1.73</v>
      </c>
      <c r="B5" s="165">
        <v>11.41</v>
      </c>
      <c r="C5" s="165">
        <v>9.5399999999999991</v>
      </c>
      <c r="D5" s="165">
        <v>6.79</v>
      </c>
      <c r="E5" s="165"/>
      <c r="F5" s="165"/>
      <c r="G5" s="165">
        <v>5.92</v>
      </c>
      <c r="H5" s="165">
        <v>9.35</v>
      </c>
      <c r="I5" s="165">
        <v>7.18</v>
      </c>
      <c r="J5" s="165">
        <v>1.44</v>
      </c>
      <c r="K5" s="165">
        <v>9.98</v>
      </c>
      <c r="L5" s="165">
        <v>4.63</v>
      </c>
      <c r="M5" s="165">
        <v>7.18</v>
      </c>
      <c r="N5" s="165">
        <v>14.39</v>
      </c>
      <c r="O5" s="165"/>
      <c r="P5" s="165">
        <v>10.7</v>
      </c>
      <c r="Q5" s="165"/>
      <c r="R5" s="165">
        <v>8.1199999999999992</v>
      </c>
    </row>
    <row r="6" spans="1:20" s="164" customFormat="1">
      <c r="A6" s="165">
        <v>1.08</v>
      </c>
      <c r="B6" s="166">
        <v>0.74</v>
      </c>
      <c r="C6" s="166">
        <v>0.74</v>
      </c>
      <c r="D6" s="166">
        <v>0.74</v>
      </c>
      <c r="E6" s="165"/>
      <c r="F6" s="165"/>
      <c r="G6" s="165">
        <v>0.6</v>
      </c>
      <c r="H6" s="166">
        <v>0.74</v>
      </c>
      <c r="I6" s="166">
        <v>0.74</v>
      </c>
      <c r="J6" s="165">
        <v>8.66</v>
      </c>
      <c r="K6" s="165">
        <v>0.92</v>
      </c>
      <c r="L6" s="165">
        <v>2.95</v>
      </c>
      <c r="M6" s="166">
        <v>0.74</v>
      </c>
      <c r="N6" s="165"/>
      <c r="O6" s="165"/>
      <c r="P6" s="165">
        <v>0.6</v>
      </c>
      <c r="Q6" s="165"/>
      <c r="R6" s="165"/>
    </row>
    <row r="7" spans="1:20" s="164" customFormat="1">
      <c r="A7" s="165">
        <v>1.23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>
        <v>0.47</v>
      </c>
      <c r="M7" s="166">
        <v>1.6</v>
      </c>
      <c r="N7" s="165"/>
      <c r="O7" s="165"/>
      <c r="P7" s="165"/>
      <c r="Q7" s="165"/>
      <c r="R7" s="165"/>
    </row>
    <row r="8" spans="1:20" s="164" customFormat="1">
      <c r="A8" s="165">
        <v>7.01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>
        <v>2.14</v>
      </c>
      <c r="M8" s="165"/>
      <c r="N8" s="165"/>
      <c r="O8" s="165"/>
      <c r="P8" s="165"/>
      <c r="Q8" s="165"/>
      <c r="R8" s="165"/>
    </row>
    <row r="9" spans="1:20" s="164" customFormat="1">
      <c r="A9" s="166">
        <v>0.74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>
        <v>3.22</v>
      </c>
      <c r="M9" s="165"/>
      <c r="N9" s="165"/>
      <c r="O9" s="165"/>
      <c r="P9" s="165"/>
      <c r="Q9" s="165"/>
      <c r="R9" s="165"/>
    </row>
    <row r="10" spans="1:20" s="164" customFormat="1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>
        <v>3.61</v>
      </c>
      <c r="M10" s="165"/>
      <c r="N10" s="165"/>
      <c r="O10" s="165"/>
      <c r="P10" s="165"/>
      <c r="Q10" s="165"/>
      <c r="R10" s="165"/>
    </row>
    <row r="11" spans="1:20" s="164" customFormat="1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>
        <v>2.17</v>
      </c>
      <c r="M11" s="165"/>
      <c r="N11" s="165"/>
      <c r="O11" s="165"/>
      <c r="P11" s="165"/>
      <c r="Q11" s="165"/>
      <c r="R11" s="165"/>
    </row>
    <row r="12" spans="1:20" s="164" customFormat="1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>
        <v>6.64</v>
      </c>
      <c r="M12" s="165"/>
      <c r="N12" s="165"/>
      <c r="O12" s="165"/>
      <c r="P12" s="165"/>
      <c r="Q12" s="165"/>
      <c r="R12" s="165"/>
    </row>
    <row r="13" spans="1:20" s="164" customForma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>
        <v>19.71</v>
      </c>
      <c r="M13" s="165"/>
      <c r="N13" s="165"/>
      <c r="O13" s="165"/>
      <c r="P13" s="165"/>
      <c r="Q13" s="165"/>
      <c r="R13" s="165"/>
    </row>
    <row r="14" spans="1:20" s="164" customFormat="1"/>
    <row r="15" spans="1:20" s="164" customFormat="1">
      <c r="A15" s="167">
        <f t="shared" ref="A15:K15" si="0">SUM(A2:A13)</f>
        <v>44.699999999999989</v>
      </c>
      <c r="B15" s="167">
        <f t="shared" si="0"/>
        <v>44.190000000000005</v>
      </c>
      <c r="C15" s="167">
        <f t="shared" si="0"/>
        <v>38.42</v>
      </c>
      <c r="D15" s="167">
        <f t="shared" si="0"/>
        <v>36.690000000000005</v>
      </c>
      <c r="E15" s="167">
        <f t="shared" si="0"/>
        <v>0.6</v>
      </c>
      <c r="F15" s="167">
        <f t="shared" si="0"/>
        <v>0.42</v>
      </c>
      <c r="G15" s="167">
        <f t="shared" si="0"/>
        <v>29.230000000000004</v>
      </c>
      <c r="H15" s="167">
        <f t="shared" si="0"/>
        <v>41.030000000000008</v>
      </c>
      <c r="I15" s="167">
        <f t="shared" si="0"/>
        <v>36.690000000000005</v>
      </c>
      <c r="J15" s="167">
        <f t="shared" si="0"/>
        <v>25.59</v>
      </c>
      <c r="K15" s="167">
        <f t="shared" si="0"/>
        <v>39.81</v>
      </c>
      <c r="L15" s="167">
        <f>SUM(L2:L13)</f>
        <v>60.41</v>
      </c>
      <c r="M15" s="167">
        <f t="shared" ref="M15:R15" si="1">SUM(M2:M13)</f>
        <v>41.17</v>
      </c>
      <c r="N15" s="167">
        <f t="shared" si="1"/>
        <v>53.650000000000006</v>
      </c>
      <c r="O15" s="167">
        <f t="shared" si="1"/>
        <v>0.6</v>
      </c>
      <c r="P15" s="167">
        <f t="shared" si="1"/>
        <v>29.150000000000002</v>
      </c>
      <c r="Q15" s="167">
        <f t="shared" si="1"/>
        <v>1.79</v>
      </c>
      <c r="R15" s="167">
        <f t="shared" si="1"/>
        <v>20.229999999999997</v>
      </c>
      <c r="S15" s="167">
        <f>SUM(B15:R15)</f>
        <v>499.67000000000013</v>
      </c>
    </row>
    <row r="18" spans="1:20" s="169" customFormat="1">
      <c r="A18" s="168" t="s">
        <v>187</v>
      </c>
    </row>
    <row r="19" spans="1:20" s="169" customFormat="1">
      <c r="A19" s="168" t="s">
        <v>168</v>
      </c>
      <c r="B19" s="168" t="s">
        <v>169</v>
      </c>
      <c r="C19" s="168" t="s">
        <v>170</v>
      </c>
      <c r="D19" s="168" t="s">
        <v>171</v>
      </c>
      <c r="E19" s="168" t="s">
        <v>172</v>
      </c>
      <c r="F19" s="168" t="s">
        <v>173</v>
      </c>
      <c r="G19" s="168" t="s">
        <v>174</v>
      </c>
      <c r="H19" s="168" t="s">
        <v>175</v>
      </c>
      <c r="I19" s="168" t="s">
        <v>176</v>
      </c>
      <c r="J19" s="168" t="s">
        <v>177</v>
      </c>
      <c r="K19" s="168" t="s">
        <v>178</v>
      </c>
      <c r="L19" s="168" t="s">
        <v>179</v>
      </c>
      <c r="M19" s="168" t="s">
        <v>180</v>
      </c>
      <c r="N19" s="168" t="s">
        <v>181</v>
      </c>
      <c r="O19" s="168" t="s">
        <v>182</v>
      </c>
      <c r="P19" s="168" t="s">
        <v>183</v>
      </c>
      <c r="Q19" s="168" t="s">
        <v>184</v>
      </c>
      <c r="R19" s="168" t="s">
        <v>185</v>
      </c>
      <c r="S19" s="168" t="s">
        <v>188</v>
      </c>
      <c r="T19" s="170"/>
    </row>
    <row r="20" spans="1:20" s="171" customFormat="1">
      <c r="A20" s="171">
        <v>16.18</v>
      </c>
      <c r="B20" s="171">
        <v>16.100000000000001</v>
      </c>
      <c r="C20" s="171">
        <v>12.54</v>
      </c>
      <c r="D20" s="171">
        <v>11.4</v>
      </c>
      <c r="E20" s="171">
        <v>8.0399999999999991</v>
      </c>
      <c r="F20" s="171">
        <v>8.0399999999999991</v>
      </c>
      <c r="G20" s="171">
        <v>7.42</v>
      </c>
      <c r="H20" s="171">
        <v>14.25</v>
      </c>
      <c r="I20" s="171">
        <v>11.4</v>
      </c>
      <c r="J20" s="171">
        <v>5.72</v>
      </c>
      <c r="K20" s="171">
        <v>18.62</v>
      </c>
      <c r="L20" s="171">
        <v>17.559999999999999</v>
      </c>
      <c r="M20" s="171">
        <v>12.9</v>
      </c>
      <c r="N20" s="171">
        <v>27.25</v>
      </c>
      <c r="O20" s="171">
        <v>8.51</v>
      </c>
      <c r="P20" s="171">
        <v>6.29</v>
      </c>
      <c r="Q20" s="171">
        <v>3.97</v>
      </c>
      <c r="R20" s="171">
        <v>8.51</v>
      </c>
      <c r="S20" s="171">
        <f>SUM(A20:R20)</f>
        <v>214.69999999999996</v>
      </c>
    </row>
    <row r="21" spans="1:20" s="169" customFormat="1"/>
    <row r="22" spans="1:20" s="169" customFormat="1">
      <c r="A22" s="169">
        <f>SUM(A20+B20+C20+D20+H20+I20+K20+L20+M20+N20)</f>
        <v>158.20000000000002</v>
      </c>
      <c r="B22" s="169" t="s">
        <v>189</v>
      </c>
    </row>
    <row r="23" spans="1:20" s="169" customFormat="1">
      <c r="A23" s="169">
        <f>SUM(E20+F20+G20+J20+O20+P20+R20)</f>
        <v>52.529999999999994</v>
      </c>
      <c r="B23" s="169" t="s">
        <v>190</v>
      </c>
    </row>
    <row r="24" spans="1:20" s="169" customFormat="1">
      <c r="A24" s="169">
        <v>3.97</v>
      </c>
      <c r="B24" s="169" t="s">
        <v>191</v>
      </c>
    </row>
    <row r="26" spans="1:20" s="173" customFormat="1">
      <c r="A26" s="172" t="s">
        <v>193</v>
      </c>
    </row>
    <row r="27" spans="1:20" s="173" customFormat="1">
      <c r="A27" s="172" t="s">
        <v>168</v>
      </c>
      <c r="B27" s="172" t="s">
        <v>169</v>
      </c>
      <c r="C27" s="172" t="s">
        <v>170</v>
      </c>
      <c r="D27" s="172" t="s">
        <v>171</v>
      </c>
      <c r="E27" s="172" t="s">
        <v>172</v>
      </c>
      <c r="F27" s="172" t="s">
        <v>173</v>
      </c>
      <c r="G27" s="172" t="s">
        <v>174</v>
      </c>
      <c r="H27" s="172" t="s">
        <v>175</v>
      </c>
      <c r="I27" s="172" t="s">
        <v>176</v>
      </c>
      <c r="J27" s="172" t="s">
        <v>177</v>
      </c>
      <c r="K27" s="172" t="s">
        <v>178</v>
      </c>
      <c r="L27" s="172" t="s">
        <v>179</v>
      </c>
      <c r="M27" s="172" t="s">
        <v>180</v>
      </c>
      <c r="N27" s="172" t="s">
        <v>181</v>
      </c>
      <c r="O27" s="172" t="s">
        <v>182</v>
      </c>
      <c r="P27" s="172" t="s">
        <v>183</v>
      </c>
      <c r="Q27" s="172" t="s">
        <v>184</v>
      </c>
      <c r="R27" s="172" t="s">
        <v>185</v>
      </c>
      <c r="S27" s="172" t="s">
        <v>194</v>
      </c>
      <c r="T27" s="174"/>
    </row>
    <row r="28" spans="1:20" s="175" customFormat="1">
      <c r="A28" s="175">
        <v>15.57</v>
      </c>
      <c r="B28" s="175">
        <v>15.4</v>
      </c>
      <c r="C28" s="175">
        <v>13.4</v>
      </c>
      <c r="D28" s="175">
        <v>12.8</v>
      </c>
      <c r="E28" s="175">
        <v>11.62</v>
      </c>
      <c r="F28" s="175">
        <v>11.62</v>
      </c>
      <c r="G28" s="175">
        <v>10.1</v>
      </c>
      <c r="H28" s="175">
        <v>14.3</v>
      </c>
      <c r="I28" s="175">
        <v>12.8</v>
      </c>
      <c r="J28" s="175">
        <v>8.02</v>
      </c>
      <c r="K28" s="175">
        <v>12.75</v>
      </c>
      <c r="L28" s="175">
        <v>21.3</v>
      </c>
      <c r="M28" s="175">
        <v>13.8</v>
      </c>
      <c r="N28" s="175">
        <v>19.579999999999998</v>
      </c>
      <c r="O28" s="175">
        <v>11.23</v>
      </c>
      <c r="P28" s="175">
        <v>10</v>
      </c>
      <c r="Q28" s="175">
        <v>7.01</v>
      </c>
      <c r="R28" s="175">
        <v>7.05</v>
      </c>
      <c r="S28" s="175">
        <f>SUM(A28:R28)</f>
        <v>228.35</v>
      </c>
    </row>
    <row r="30" spans="1:20" s="176" customFormat="1">
      <c r="A30" s="176" t="s">
        <v>195</v>
      </c>
    </row>
    <row r="31" spans="1:20" s="176" customFormat="1">
      <c r="A31" s="177" t="s">
        <v>172</v>
      </c>
      <c r="B31" s="177" t="s">
        <v>173</v>
      </c>
      <c r="C31" s="177" t="s">
        <v>182</v>
      </c>
      <c r="D31" s="177" t="s">
        <v>184</v>
      </c>
      <c r="E31" s="177" t="s">
        <v>185</v>
      </c>
    </row>
    <row r="32" spans="1:20" s="176" customFormat="1">
      <c r="A32" s="180">
        <v>10.26</v>
      </c>
      <c r="B32" s="180">
        <v>6.65</v>
      </c>
      <c r="C32" s="180">
        <v>6.96</v>
      </c>
      <c r="D32" s="180">
        <v>3.9</v>
      </c>
      <c r="E32" s="178">
        <v>3.12</v>
      </c>
    </row>
    <row r="33" spans="1:6" s="176" customFormat="1">
      <c r="A33" s="180">
        <v>7.11</v>
      </c>
      <c r="B33" s="180">
        <v>7.19</v>
      </c>
      <c r="C33" s="180">
        <v>9.02</v>
      </c>
      <c r="D33" s="180">
        <v>5.49</v>
      </c>
      <c r="E33" s="178"/>
    </row>
    <row r="34" spans="1:6" s="176" customFormat="1">
      <c r="A34" s="180">
        <v>6.65</v>
      </c>
      <c r="B34" s="180">
        <v>10.26</v>
      </c>
      <c r="C34" s="180">
        <v>5.65</v>
      </c>
      <c r="D34" s="180">
        <v>6.79</v>
      </c>
      <c r="E34" s="178"/>
    </row>
    <row r="35" spans="1:6" s="176" customFormat="1">
      <c r="A35" s="180">
        <v>2.96</v>
      </c>
      <c r="B35" s="180">
        <v>2.17</v>
      </c>
      <c r="C35" s="180">
        <v>9.02</v>
      </c>
      <c r="D35" s="180">
        <v>2.6</v>
      </c>
      <c r="E35" s="178"/>
    </row>
    <row r="36" spans="1:6" s="176" customFormat="1">
      <c r="A36" s="180">
        <v>3.61</v>
      </c>
      <c r="B36" s="180">
        <v>3.61</v>
      </c>
      <c r="C36" s="180"/>
      <c r="D36" s="180"/>
      <c r="E36" s="178"/>
    </row>
    <row r="37" spans="1:6" s="176" customFormat="1">
      <c r="A37" s="180">
        <v>2.95</v>
      </c>
      <c r="B37" s="180">
        <v>2.96</v>
      </c>
      <c r="C37" s="177"/>
      <c r="D37" s="177"/>
    </row>
    <row r="38" spans="1:6" s="176" customFormat="1">
      <c r="A38" s="178"/>
      <c r="B38" s="178"/>
      <c r="F38" s="177" t="s">
        <v>196</v>
      </c>
    </row>
    <row r="39" spans="1:6" s="176" customFormat="1"/>
    <row r="40" spans="1:6" s="176" customFormat="1">
      <c r="A40" s="179">
        <f t="shared" ref="A40:E40" si="2">SUM(A32:A39)</f>
        <v>33.540000000000006</v>
      </c>
      <c r="B40" s="179">
        <f t="shared" si="2"/>
        <v>32.840000000000003</v>
      </c>
      <c r="C40" s="179">
        <f t="shared" si="2"/>
        <v>30.650000000000002</v>
      </c>
      <c r="D40" s="179">
        <f t="shared" si="2"/>
        <v>18.78</v>
      </c>
      <c r="E40" s="179">
        <f t="shared" si="2"/>
        <v>3.12</v>
      </c>
      <c r="F40" s="179">
        <f>SUM(A40:E40)</f>
        <v>118.93000000000002</v>
      </c>
    </row>
    <row r="41" spans="1:6" s="176" customFormat="1"/>
    <row r="42" spans="1:6" s="176" customFormat="1">
      <c r="A42" s="177" t="s">
        <v>197</v>
      </c>
      <c r="D42" s="177" t="s">
        <v>198</v>
      </c>
    </row>
    <row r="43" spans="1:6" s="176" customFormat="1">
      <c r="A43" s="178">
        <f>A35+A36+A37+B37+B36+B35+D35+D32</f>
        <v>24.759999999999998</v>
      </c>
      <c r="D43" s="178">
        <f>A32+A33+A34+B32+B33+B34+C32+C33+D33+D34+C35+C34</f>
        <v>91.05</v>
      </c>
    </row>
    <row r="44" spans="1:6">
      <c r="A44" s="158"/>
    </row>
    <row r="45" spans="1:6">
      <c r="A45" s="158"/>
      <c r="D45" s="158"/>
    </row>
    <row r="46" spans="1:6">
      <c r="A46" s="158"/>
    </row>
    <row r="47" spans="1:6">
      <c r="A47" s="158"/>
    </row>
    <row r="48" spans="1:6">
      <c r="A48" s="158"/>
    </row>
    <row r="49" spans="1:1">
      <c r="A49" s="158"/>
    </row>
    <row r="50" spans="1:1">
      <c r="A50" s="15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RESUMO</vt:lpstr>
      <vt:lpstr>planilha de orçamento</vt:lpstr>
      <vt:lpstr>COMPOSIÇÃO</vt:lpstr>
      <vt:lpstr>CRON</vt:lpstr>
      <vt:lpstr>Parte externa</vt:lpstr>
      <vt:lpstr>Parte Interna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cliente1</cp:lastModifiedBy>
  <cp:lastPrinted>2018-10-29T19:56:30Z</cp:lastPrinted>
  <dcterms:created xsi:type="dcterms:W3CDTF">1998-04-12T12:31:25Z</dcterms:created>
  <dcterms:modified xsi:type="dcterms:W3CDTF">2018-10-29T20:02:50Z</dcterms:modified>
</cp:coreProperties>
</file>