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75" windowWidth="9180" windowHeight="3480" tabRatio="601"/>
  </bookViews>
  <sheets>
    <sheet name="ORCAMENTO" sheetId="19" r:id="rId1"/>
    <sheet name="RESUMO" sheetId="22" r:id="rId2"/>
    <sheet name="CRONOGRAMA" sheetId="21" r:id="rId3"/>
    <sheet name="COMPOSIÇÃO" sheetId="23" r:id="rId4"/>
  </sheets>
  <definedNames>
    <definedName name="_xlnm.Print_Area" localSheetId="3">COMPOSIÇÃO!$B$2:$I$60</definedName>
    <definedName name="_xlnm.Print_Area" localSheetId="2">CRONOGRAMA!$A$1:$J$62</definedName>
    <definedName name="_xlnm.Print_Area" localSheetId="0">ORCAMENTO!$B$2:$I$154</definedName>
    <definedName name="_xlnm.Print_Area" localSheetId="1">RESUMO!$A$2:$E$50</definedName>
    <definedName name="_xlnm.Print_Titles" localSheetId="3">COMPOSIÇÃO!$3:$5</definedName>
    <definedName name="_xlnm.Print_Titles" localSheetId="2">CRONOGRAMA!$1:$7</definedName>
    <definedName name="_xlnm.Print_Titles" localSheetId="0">ORCAMENTO!$B:$I,ORCAMENTO!$2:$14</definedName>
    <definedName name="_xlnm.Print_Titles" localSheetId="1">RESUMO!$2:$6</definedName>
  </definedNames>
  <calcPr calcId="124519"/>
</workbook>
</file>

<file path=xl/calcChain.xml><?xml version="1.0" encoding="utf-8"?>
<calcChain xmlns="http://schemas.openxmlformats.org/spreadsheetml/2006/main">
  <c r="C4" i="23"/>
  <c r="I21" i="19"/>
  <c r="I22" s="1"/>
  <c r="E14" i="21" s="1"/>
  <c r="H21" i="19"/>
  <c r="E53" i="21"/>
  <c r="E50"/>
  <c r="E47"/>
  <c r="E44"/>
  <c r="E41"/>
  <c r="E38"/>
  <c r="E35"/>
  <c r="E32"/>
  <c r="G34" s="1"/>
  <c r="E29"/>
  <c r="E26"/>
  <c r="E23"/>
  <c r="E20"/>
  <c r="E17"/>
  <c r="I151" i="19"/>
  <c r="H150"/>
  <c r="I150" s="1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27"/>
  <c r="I127" s="1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06"/>
  <c r="I106" s="1"/>
  <c r="I90"/>
  <c r="I91"/>
  <c r="I92"/>
  <c r="I93"/>
  <c r="I94"/>
  <c r="I95"/>
  <c r="I96"/>
  <c r="I97"/>
  <c r="I98"/>
  <c r="I99"/>
  <c r="I100"/>
  <c r="I101"/>
  <c r="I102"/>
  <c r="I103"/>
  <c r="I104"/>
  <c r="H90"/>
  <c r="H91"/>
  <c r="H92"/>
  <c r="H93"/>
  <c r="H94"/>
  <c r="H95"/>
  <c r="H96"/>
  <c r="H97"/>
  <c r="H98"/>
  <c r="H99"/>
  <c r="H100"/>
  <c r="H101"/>
  <c r="H102"/>
  <c r="H103"/>
  <c r="H104"/>
  <c r="H89"/>
  <c r="I89" s="1"/>
  <c r="I82"/>
  <c r="I83"/>
  <c r="I84"/>
  <c r="I85"/>
  <c r="H82"/>
  <c r="H83"/>
  <c r="H84"/>
  <c r="H85"/>
  <c r="H81"/>
  <c r="I81" s="1"/>
  <c r="I76"/>
  <c r="I77"/>
  <c r="I78"/>
  <c r="H76"/>
  <c r="H77"/>
  <c r="H78"/>
  <c r="H75"/>
  <c r="I75" s="1"/>
  <c r="I72"/>
  <c r="H72"/>
  <c r="H71"/>
  <c r="I71" s="1"/>
  <c r="I66"/>
  <c r="I67"/>
  <c r="I68"/>
  <c r="H66"/>
  <c r="H67"/>
  <c r="H68"/>
  <c r="H65"/>
  <c r="I65" s="1"/>
  <c r="I60"/>
  <c r="I61"/>
  <c r="I62"/>
  <c r="H60"/>
  <c r="H61"/>
  <c r="H62"/>
  <c r="H59"/>
  <c r="I59" s="1"/>
  <c r="I55"/>
  <c r="I56"/>
  <c r="H55"/>
  <c r="H56"/>
  <c r="H54"/>
  <c r="I54" s="1"/>
  <c r="H51"/>
  <c r="I51" s="1"/>
  <c r="H48"/>
  <c r="I48" s="1"/>
  <c r="I40"/>
  <c r="I41"/>
  <c r="I42"/>
  <c r="I43"/>
  <c r="I44"/>
  <c r="I45"/>
  <c r="I46"/>
  <c r="H40"/>
  <c r="H41"/>
  <c r="H42"/>
  <c r="H43"/>
  <c r="H44"/>
  <c r="H45"/>
  <c r="H46"/>
  <c r="H39"/>
  <c r="I39" s="1"/>
  <c r="I30"/>
  <c r="I31"/>
  <c r="I32"/>
  <c r="I33"/>
  <c r="I34"/>
  <c r="I35"/>
  <c r="I36"/>
  <c r="H30"/>
  <c r="H31"/>
  <c r="H32"/>
  <c r="H33"/>
  <c r="H34"/>
  <c r="H35"/>
  <c r="H36"/>
  <c r="I29"/>
  <c r="H29"/>
  <c r="I25"/>
  <c r="I26"/>
  <c r="H25"/>
  <c r="H26"/>
  <c r="I24"/>
  <c r="H24"/>
  <c r="I20"/>
  <c r="H20"/>
  <c r="F89"/>
  <c r="F90"/>
  <c r="H30" i="23"/>
  <c r="H29"/>
  <c r="H27"/>
  <c r="H10"/>
  <c r="H11"/>
  <c r="H12"/>
  <c r="H13"/>
  <c r="H9"/>
  <c r="F62" i="19"/>
  <c r="F55"/>
  <c r="F54"/>
  <c r="F59" s="1"/>
  <c r="F61" s="1"/>
  <c r="H59" i="23"/>
  <c r="H58"/>
  <c r="H56"/>
  <c r="H55"/>
  <c r="H54"/>
  <c r="H53"/>
  <c r="H52"/>
  <c r="H51"/>
  <c r="H50"/>
  <c r="H49"/>
  <c r="H48"/>
  <c r="H47"/>
  <c r="H14" l="1"/>
  <c r="H60"/>
  <c r="F41" i="19" l="1"/>
  <c r="F39"/>
  <c r="F40" s="1"/>
  <c r="F25"/>
  <c r="F32"/>
  <c r="F30"/>
  <c r="F31" s="1"/>
  <c r="H19"/>
  <c r="K76"/>
  <c r="K77"/>
  <c r="K78"/>
  <c r="H21" i="23" l="1"/>
  <c r="H20"/>
  <c r="H19"/>
  <c r="H18"/>
  <c r="H16" i="19"/>
  <c r="I16" s="1"/>
  <c r="I17" s="1"/>
  <c r="K16"/>
  <c r="K17" s="1"/>
  <c r="J17" s="1"/>
  <c r="G17"/>
  <c r="H22" i="23" l="1"/>
  <c r="K138" i="19"/>
  <c r="K136"/>
  <c r="K134"/>
  <c r="K132"/>
  <c r="K121"/>
  <c r="K117" l="1"/>
  <c r="K116"/>
  <c r="K119"/>
  <c r="K66"/>
  <c r="K61"/>
  <c r="K141"/>
  <c r="K135"/>
  <c r="K115"/>
  <c r="K99" l="1"/>
  <c r="K65"/>
  <c r="I69"/>
  <c r="K31"/>
  <c r="K40"/>
  <c r="K34" l="1"/>
  <c r="K35"/>
  <c r="K102"/>
  <c r="K72"/>
  <c r="K103"/>
  <c r="H39" i="23" l="1"/>
  <c r="H38"/>
  <c r="H36"/>
  <c r="H40" l="1"/>
  <c r="H31"/>
  <c r="K85" i="19" l="1"/>
  <c r="K83"/>
  <c r="K127" l="1"/>
  <c r="K140"/>
  <c r="K100"/>
  <c r="K98"/>
  <c r="K101"/>
  <c r="K88"/>
  <c r="K111"/>
  <c r="K110"/>
  <c r="K118"/>
  <c r="G125"/>
  <c r="K124"/>
  <c r="K120"/>
  <c r="K92"/>
  <c r="K91"/>
  <c r="K90"/>
  <c r="K89"/>
  <c r="K75" l="1"/>
  <c r="I79" l="1"/>
  <c r="K56"/>
  <c r="K62"/>
  <c r="G148"/>
  <c r="K150"/>
  <c r="K151" s="1"/>
  <c r="J151" s="1"/>
  <c r="G151"/>
  <c r="G73"/>
  <c r="E46" i="22" l="1"/>
  <c r="I52" i="19"/>
  <c r="B6" i="22"/>
  <c r="E6"/>
  <c r="K147" i="19"/>
  <c r="K144"/>
  <c r="K143"/>
  <c r="K137"/>
  <c r="K133"/>
  <c r="K131"/>
  <c r="K130"/>
  <c r="K128"/>
  <c r="K148" s="1"/>
  <c r="J148" s="1"/>
  <c r="G52"/>
  <c r="K51"/>
  <c r="K52" s="1"/>
  <c r="G49"/>
  <c r="K46"/>
  <c r="K43"/>
  <c r="K42"/>
  <c r="K41"/>
  <c r="K39"/>
  <c r="K49" s="1"/>
  <c r="J49" s="1"/>
  <c r="G37"/>
  <c r="K36"/>
  <c r="K33"/>
  <c r="K32"/>
  <c r="K30"/>
  <c r="K37" s="1"/>
  <c r="J37" s="1"/>
  <c r="K29"/>
  <c r="G27"/>
  <c r="K26"/>
  <c r="K25"/>
  <c r="K24"/>
  <c r="K27" s="1"/>
  <c r="I86"/>
  <c r="I19"/>
  <c r="K112"/>
  <c r="K109"/>
  <c r="K108"/>
  <c r="K107"/>
  <c r="K106"/>
  <c r="K105"/>
  <c r="K125"/>
  <c r="J125" s="1"/>
  <c r="K97"/>
  <c r="B4" i="22"/>
  <c r="B5"/>
  <c r="K19" i="19"/>
  <c r="K22" s="1"/>
  <c r="J22" s="1"/>
  <c r="G86"/>
  <c r="G79"/>
  <c r="G69"/>
  <c r="G63"/>
  <c r="G57"/>
  <c r="G22"/>
  <c r="K60"/>
  <c r="K59"/>
  <c r="K63" s="1"/>
  <c r="J63" s="1"/>
  <c r="K69"/>
  <c r="J69" s="1"/>
  <c r="K20"/>
  <c r="K55"/>
  <c r="K71"/>
  <c r="K73" s="1"/>
  <c r="J73" s="1"/>
  <c r="K84"/>
  <c r="K86" s="1"/>
  <c r="J86" s="1"/>
  <c r="K54"/>
  <c r="K57" s="1"/>
  <c r="J57" s="1"/>
  <c r="K79"/>
  <c r="J79" s="1"/>
  <c r="I49" l="1"/>
  <c r="I57"/>
  <c r="E26" i="22" s="1"/>
  <c r="I63" i="19"/>
  <c r="I73"/>
  <c r="I37"/>
  <c r="E17" i="22" s="1"/>
  <c r="I125" i="19"/>
  <c r="E11" i="21"/>
  <c r="E10" i="22"/>
  <c r="I148" i="19"/>
  <c r="H46" i="21"/>
  <c r="I27" i="19"/>
  <c r="E23" i="22"/>
  <c r="F28" i="21"/>
  <c r="I152" i="19" l="1"/>
  <c r="F16" i="21"/>
  <c r="E12" i="22"/>
  <c r="F25" i="21"/>
  <c r="E43" i="22"/>
  <c r="G40" i="21"/>
  <c r="E34" i="22"/>
  <c r="E40"/>
  <c r="I43" i="21"/>
  <c r="H43"/>
  <c r="E15" i="22"/>
  <c r="F19" i="21"/>
  <c r="E38" i="22"/>
  <c r="E36"/>
  <c r="F31" i="21"/>
  <c r="E20" i="22"/>
  <c r="F22" i="21"/>
  <c r="H13"/>
  <c r="I13"/>
  <c r="G13"/>
  <c r="F13"/>
  <c r="E29" i="22"/>
  <c r="I46" i="21"/>
  <c r="E32" i="22"/>
  <c r="G46" i="21"/>
  <c r="E49" i="22" l="1"/>
  <c r="D26" s="1"/>
  <c r="I55" i="21"/>
  <c r="H49"/>
  <c r="I49"/>
  <c r="G49"/>
  <c r="G52"/>
  <c r="G56" s="1"/>
  <c r="H52"/>
  <c r="I52"/>
  <c r="G37"/>
  <c r="F34"/>
  <c r="F56" s="1"/>
  <c r="E57"/>
  <c r="H56" l="1"/>
  <c r="I56"/>
  <c r="D46" i="22"/>
  <c r="D10"/>
  <c r="F57" i="21"/>
  <c r="D43" i="22"/>
  <c r="D34"/>
  <c r="D38" i="21"/>
  <c r="D11"/>
  <c r="D14"/>
  <c r="D20"/>
  <c r="D41"/>
  <c r="D29"/>
  <c r="D26"/>
  <c r="D17"/>
  <c r="D23"/>
  <c r="D44"/>
  <c r="D32" i="22"/>
  <c r="D35" i="21"/>
  <c r="D12" i="22"/>
  <c r="D23"/>
  <c r="D20"/>
  <c r="D36"/>
  <c r="D38"/>
  <c r="D15"/>
  <c r="D17"/>
  <c r="D50" i="21"/>
  <c r="D47"/>
  <c r="D53"/>
  <c r="D32"/>
  <c r="D40" i="22"/>
  <c r="D29"/>
  <c r="G57" i="21" l="1"/>
  <c r="H57" s="1"/>
  <c r="I57" s="1"/>
  <c r="D49" i="22"/>
  <c r="D57" i="21"/>
</calcChain>
</file>

<file path=xl/sharedStrings.xml><?xml version="1.0" encoding="utf-8"?>
<sst xmlns="http://schemas.openxmlformats.org/spreadsheetml/2006/main" count="566" uniqueCount="351">
  <si>
    <t>Item</t>
  </si>
  <si>
    <t>Descrição</t>
  </si>
  <si>
    <t xml:space="preserve">UN </t>
  </si>
  <si>
    <t>Unitário</t>
  </si>
  <si>
    <t>SERVIÇOS PRELIMINARES</t>
  </si>
  <si>
    <t>MOVIMENTO DE SOLOS</t>
  </si>
  <si>
    <t>TOTAL-----------------»</t>
  </si>
  <si>
    <t>DISCRIMINAÇÃO DOS SERVIÇOS</t>
  </si>
  <si>
    <t>%</t>
  </si>
  <si>
    <t>VALOR DO ITEM</t>
  </si>
  <si>
    <t>(R$)</t>
  </si>
  <si>
    <t>Serviços Preliminares</t>
  </si>
  <si>
    <t xml:space="preserve">Movimento de Solos </t>
  </si>
  <si>
    <t xml:space="preserve">Revestimentos </t>
  </si>
  <si>
    <t>Coberturas</t>
  </si>
  <si>
    <t>Pinturas</t>
  </si>
  <si>
    <t>TOTAIS MENSAIS</t>
  </si>
  <si>
    <t>TOTAIS ACUMULADOS</t>
  </si>
  <si>
    <t>RESUMO DA OBRA</t>
  </si>
  <si>
    <t>ITEM.</t>
  </si>
  <si>
    <t xml:space="preserve"> Serviços Preliminares</t>
  </si>
  <si>
    <t>Movimento de Solos</t>
  </si>
  <si>
    <t>30 DIAS</t>
  </si>
  <si>
    <t>60 DIAS</t>
  </si>
  <si>
    <t>90 DIAS</t>
  </si>
  <si>
    <t>120 DIAS</t>
  </si>
  <si>
    <t>Estrutura</t>
  </si>
  <si>
    <t>Pisos</t>
  </si>
  <si>
    <t>PLACA DE OBRA EM CHAPA DE ACO GALVANIZADO</t>
  </si>
  <si>
    <t>LIMPEZA FINAL DA OBRA</t>
  </si>
  <si>
    <t xml:space="preserve">Unit. c/ BDI </t>
  </si>
  <si>
    <t>Valor Total</t>
  </si>
  <si>
    <t>TOTAL ACUM.</t>
  </si>
  <si>
    <t>VALORES</t>
  </si>
  <si>
    <t>Quant.</t>
  </si>
  <si>
    <t>ESTRUTURA</t>
  </si>
  <si>
    <t>FUNDAÇÃO</t>
  </si>
  <si>
    <t>IMPERMEABILIZAÇÃO</t>
  </si>
  <si>
    <t>ALVENARIA</t>
  </si>
  <si>
    <t>REVESTIMENTO</t>
  </si>
  <si>
    <t>COBERTURA</t>
  </si>
  <si>
    <t>ESQUADRIAS</t>
  </si>
  <si>
    <t>PISOS</t>
  </si>
  <si>
    <t>PINTURA</t>
  </si>
  <si>
    <t xml:space="preserve">             ESGOTO</t>
  </si>
  <si>
    <t>INSTALAÇÕES HIDRO SANITÁRIAS</t>
  </si>
  <si>
    <r>
      <t>5</t>
    </r>
    <r>
      <rPr>
        <b/>
        <sz val="11"/>
        <rFont val="Calibri"/>
        <family val="2"/>
      </rPr>
      <t>ª</t>
    </r>
    <r>
      <rPr>
        <b/>
        <sz val="11"/>
        <rFont val="Arial"/>
        <family val="2"/>
      </rPr>
      <t xml:space="preserve"> MEDIÇÃO</t>
    </r>
  </si>
  <si>
    <t>VALOR</t>
  </si>
  <si>
    <t>C/ BASE SOB  REMANECENTE</t>
  </si>
  <si>
    <t>INSTALAÇÕES ELÉTRICAS</t>
  </si>
  <si>
    <t xml:space="preserve">          Data:17/julho/2017</t>
  </si>
  <si>
    <t>SINAPI</t>
  </si>
  <si>
    <t>M</t>
  </si>
  <si>
    <t>M²</t>
  </si>
  <si>
    <t>LASTRO DE CONCRETO, PREPARO MECÂNICO, INCLUSO ADITIVO IMPERMEABILIZANTE , LANÇAMENTO E ADENSAMENTO</t>
  </si>
  <si>
    <t>M³</t>
  </si>
  <si>
    <r>
      <t>M</t>
    </r>
    <r>
      <rPr>
        <b/>
        <sz val="10"/>
        <rFont val="Arial"/>
        <family val="2"/>
      </rPr>
      <t>²</t>
    </r>
  </si>
  <si>
    <t>74106/001</t>
  </si>
  <si>
    <t>CHAPISCO APLICADO EM ALVENARIA (COM PRESENÇA DE VÃOS) E ESTRUTURA DE CONCRETO DE FACHADA, COM COLHER DE PEDREIRO, ARGAMASSA TRAÇO 1:3 PREPARO EM BETONEIRA 400L. AF_06/2014</t>
  </si>
  <si>
    <t>APLICAÇÃO MANUAL DE PINTURA COM TINTA LÁTEX ACRÍLICA EM PAREDES, DUAS DEMÃOS, AF_06/2014</t>
  </si>
  <si>
    <t>MONTAGEM E DESMONTAGEM DE FÔRMA DE PILARES RETANGULARES E ESTRUTURAS SIMILARES COM ÁREA MÉDIA DAS SEÇÕES MENOR OU IGUAL A  0,25M², PÉ DIREITO SIMPLES, EM CHAPA DE MADEIRA COMPENSADA RESINADA, 6 UTILIZAÇÕES AF_12/2015</t>
  </si>
  <si>
    <t>CONCRETO MAGRO PARA LASTRO, TRAÇO 1:4,5:4,5 (CIMENTO/ AREIA MÉDIA/ BRITA 1) -PREPARO MECÂNICO COM BETÔNEIRA 400 L. AF_07/2016</t>
  </si>
  <si>
    <t>CONCRETO FCK=25MPA, TRAÇO 1: 2,3 :2, 7 (CIMENTO/ AREIA MÉDIA/ BRITA 1)-PREPARO MECÂNICO COM BETONEIRA 400L. AF_07/2016</t>
  </si>
  <si>
    <t>74209/001</t>
  </si>
  <si>
    <t>EXECUÇÃO DE DEPÓSITO EM CANTEIRO DE OBRA EM CHAPA DE MADEIRA COMPENSADA, NÃO INCLUSO MOBILIÁRIO. AF_04/2016</t>
  </si>
  <si>
    <t>COMPOSIÇÃO 01</t>
  </si>
  <si>
    <t>CONCRETO FCK=25MPA, TRAÇO 1:2,3:2,7 (CIMENTO/ AREIA MÉDIA/ BRITA 1)-PREPARO MECÂNICO COM BETONEIRA 400L. AF_07/2016</t>
  </si>
  <si>
    <t>KG</t>
  </si>
  <si>
    <t>AMARÇÃO DE PILAR OU VIGA DE UMA ESTRUTURA CONVENCIONAL DE CONCRETO ARMADO EM UMA EDIFICAÇÃO TÉRREA OU SOBRADO UTILIZANDO AÇO CA-60 DE 5,0MM- MONTAGEM. AF_12/2015</t>
  </si>
  <si>
    <t>AMARÇÃO DE PILAR OU VIGA DE UMA ESTRUTURA CONVENCIONAL DE CONCRETO ARMADO EM UMA EDIFICAÇÃO TÉRREA OU SOBRADO UTILIZANDO AÇO CA-50 DE 8,0MM- MONTAGEM. AF_12/2015</t>
  </si>
  <si>
    <t>AMARÇÃO DE PILAR OU VIGA DE UMA ESTRUTURA CONVENCIONAL DE CONCRETO ARMADO EM UMA EDIFICAÇÃO TÉRREA OU SOBRADO UTILIZANDO AÇO CA-50 DE 10,0MM- MONTAGEM. AF_12/2015</t>
  </si>
  <si>
    <t>AMARÇÃO DE BLOCO, VIGA BALDRAME OU SAPATA UTILIZANDO AÇO CA-50 DE 10MM-MONTAGEM  AF_06/2017</t>
  </si>
  <si>
    <t>AMARÇÃO DE BLOCO, VIGA BALDRAME OU SAPATA UTILIZANDO AÇO CA-60 DE 5,0MM-MONTAGEM  AF_06/2017</t>
  </si>
  <si>
    <t>UN</t>
  </si>
  <si>
    <t>TUBO PVC, SÉRIE NORMAL, ESGOTO PREDIAL, DN 50MM, FORNECIDO E INSTALADO EM RAMAL DE DESCARGA OU RAMAL DE ESGOTO SANITÁRIO AF_12/2014</t>
  </si>
  <si>
    <t>Fundação</t>
  </si>
  <si>
    <t>Impermeabilização</t>
  </si>
  <si>
    <t>Alvenaria</t>
  </si>
  <si>
    <t>Revestimento</t>
  </si>
  <si>
    <t>Cobertura</t>
  </si>
  <si>
    <t>Esquadrias</t>
  </si>
  <si>
    <t>Pintura</t>
  </si>
  <si>
    <t>Instalações Hidro Sanitárias</t>
  </si>
  <si>
    <t>B.D.I: 27,63%</t>
  </si>
  <si>
    <t xml:space="preserve">       PLANILHA  ORÇAMENTÁRIA </t>
  </si>
  <si>
    <t>CAIXA RETANGULAR 4``X 2`` MÉDIA (1,30M DO PISO), PVC INSTALADA EM PAREDE-FORNECIMENTO E INSTALAÇÃO . AF_12/2015</t>
  </si>
  <si>
    <t>INTERRUPTOR SIMPLES (2 MÓDULOS), 10A/250V,  INCLUINDO SUPORTE E PLACA- FORNECIMENTO E INSTALAÇÃO. AF_12/2015</t>
  </si>
  <si>
    <r>
      <t>M</t>
    </r>
    <r>
      <rPr>
        <i/>
        <sz val="10"/>
        <rFont val="Arial"/>
        <family val="2"/>
      </rPr>
      <t>²</t>
    </r>
  </si>
  <si>
    <t>TOTAL GERAL DO ORÇAMENTO</t>
  </si>
  <si>
    <t>TUBO PVC, SÉRIE NORMAL, ESGOTO PREDIAL, DN 100MM, FORNECIDO E INSTALADO EM RAMAL DE DESCARGA OU RAMAL DE ESGOTO SANITÁRIO AF_12/2014</t>
  </si>
  <si>
    <t>TUBO PVC, SÉRIE NORMAL, ESGOTO PREDIAL, DN 40MM, FORNECIDO E INSTALADO EM RAMAL DE DESCARGA OU RAMAL DE ESGOTO SANITÁRIO AF_12/2014</t>
  </si>
  <si>
    <t>CURVA CURTA 90 GRAUS, PVC, SERIE NORMAL, ESGOTO PREDIAL, DN 40 MM, JUNTA SOLDÁVEL, FORNECIDO E INSTALADO EM RAMAL DE DESCARGA OU RAMAL DE ESGOTO SANITÁRIO. AF_12/2014</t>
  </si>
  <si>
    <t xml:space="preserve">ADMINISTRAÇÃO LOCAL DE OBRA </t>
  </si>
  <si>
    <t>ENCARGOS SOCIAIS SOBRE MÃO DE OBRA: 88,80%</t>
  </si>
  <si>
    <t>Administração Local</t>
  </si>
  <si>
    <t>REATERRO MANUAL APILOADO COM SOQUETE. AF_10/2017</t>
  </si>
  <si>
    <t>IMPERMEABILIZAÇÃO DE ESTRUTURAS ENTERRADAS, COM TINTA ASFALTICA, DUAS DEMÃOS.</t>
  </si>
  <si>
    <t>3.1</t>
  </si>
  <si>
    <t>1.1</t>
  </si>
  <si>
    <t>2.1</t>
  </si>
  <si>
    <t>2.2</t>
  </si>
  <si>
    <t>3.2</t>
  </si>
  <si>
    <t>4.1</t>
  </si>
  <si>
    <t>4.2</t>
  </si>
  <si>
    <t>4.3</t>
  </si>
  <si>
    <t>5.1</t>
  </si>
  <si>
    <t>7.1</t>
  </si>
  <si>
    <t>8.1</t>
  </si>
  <si>
    <t>8.2</t>
  </si>
  <si>
    <t>8.3</t>
  </si>
  <si>
    <t>8.4</t>
  </si>
  <si>
    <t>10.1</t>
  </si>
  <si>
    <t>10.2</t>
  </si>
  <si>
    <t>11.1</t>
  </si>
  <si>
    <t>12.1</t>
  </si>
  <si>
    <t>12.2</t>
  </si>
  <si>
    <t>CABO DE COBRE FLEXÍVEL ISOLADO, 2,5 MM², ANTI-CHAMA 0,6/1,0 KV, PARA CIRCUITOS TERMINAIS - FORNECIMENTO E INSTALAÇÃO. AF_12/2015</t>
  </si>
  <si>
    <t>DUTO ESPIRAL FLEXIVEL SINGELO PEAD D=50MM(2") REVESTIDO COM PVC COM FIO GUIA DE ACO GALVANIZADO, LANCADO DIRETO NO SOLO, INCL CONEXOES</t>
  </si>
  <si>
    <t>73798/001</t>
  </si>
  <si>
    <t>Instalações Elétricas</t>
  </si>
  <si>
    <t>ESCAVAÇÃO MANUAL DE VALA COM PROFUNDIDADE MENOR OU IGUAL A 1,30 M. AF_03/2016</t>
  </si>
  <si>
    <t>74166/001</t>
  </si>
  <si>
    <t>CAIXA DE INSPEÇÃO EM CONCRETO PRÉ-MOLDADO DN 60CM COM TAMPA H= 60CM - FORNECIMENTO E INSTALACAO</t>
  </si>
  <si>
    <t xml:space="preserve">                                      Município: Santo Antonio do Leste - MT</t>
  </si>
  <si>
    <t xml:space="preserve">COMPOSIÇÕES DE VALORES </t>
  </si>
  <si>
    <t>M2</t>
  </si>
  <si>
    <t>COMPONENTES</t>
  </si>
  <si>
    <t>Quantidade</t>
  </si>
  <si>
    <t>M Ã O   D E   O B R A</t>
  </si>
  <si>
    <t>H</t>
  </si>
  <si>
    <t>TOTAL</t>
  </si>
  <si>
    <t>COMPOSIÇÃO 002</t>
  </si>
  <si>
    <t>Custos Unit. (R$)</t>
  </si>
  <si>
    <t>Custos Total (R$)</t>
  </si>
  <si>
    <t>M A T E R I A L</t>
  </si>
  <si>
    <t>88316</t>
  </si>
  <si>
    <t>SERVENTE COM ENCARGOS COMPLEMENTARES</t>
  </si>
  <si>
    <t>ELETRICISTA COM ENCARGOS COMPLEMENTARES</t>
  </si>
  <si>
    <t>* baseada na composição 08894/ORSE</t>
  </si>
  <si>
    <t>* baseada na composição 07997/ORSE</t>
  </si>
  <si>
    <t>TUBO, PVC, SOLDÁVEL, DN 25MM, INSTALADO EM RAMAL OU SUB-RAMAL DE ÁGUA- FORNECIMENTO E INSTALAÇÃO. AF_12/2014</t>
  </si>
  <si>
    <t>TUBO, PVC, SOLDÁVEL, DN 50MM, INSTALADO EM PRUMADA DE ÁGUA - FORNECIMENTO E INSTALAÇÃO. AF_12/2014</t>
  </si>
  <si>
    <t>JOELHO 90 GRAUS, PVC, SOLDÁVEL, DN 25MM, INSTALADO EM RAMAL OU SUB-RAMAL DE ÁGUA - FORNECIMENTO E INSTALAÇÃO. AF_12/2014</t>
  </si>
  <si>
    <t>JOELHO 90 GRAUS, PVC, SOLDÁVEL, DN 50MM, INSTALADO EM PRUMADA DE ÁGUA- FORNECIMENTO E INSTALAÇÃO. AF_12/2014</t>
  </si>
  <si>
    <t>JOELHO 90 GRAUS COM BUCHA DE LATÃO, PVC, SOLDÁVEL, DN 25MM, X 1/2 INSTALADO EM RAMAL OU SUB-RAMAL DE ÁGUA - FORNECIMENTO E INSTALAÇÃO. AF_12/2014</t>
  </si>
  <si>
    <t>TE, PVC, SOLDÁVEL, DN 25MM, INSTALADO EM RAMAL OU SUB-RAMAL DE ÁGUA -FORNECIMENTO E INSTALAÇÃO. AF_12/2014</t>
  </si>
  <si>
    <t>TÊ DE REDUÇÃO, PVC, SOLDÁVEL, DN 50MM X 25MM, INSTALADO EM PRUMADA DE ÁGUA - FORNECIMENTO E INSTALAÇÃO. AF_12/2014</t>
  </si>
  <si>
    <t>REVESTIMENTO CERÂMICO PARA PAREDES INTERNAS COM PLACAS TIPO ESMALTADA EXTRA DE DIMENSÕES 33X45 CM APLICADAS EM AMBIENTES DE ÁREA MAIOR QUE 5 M² NA ALTURA INTEIRA DAS PAREDES. AF_06/2014</t>
  </si>
  <si>
    <t>11.2</t>
  </si>
  <si>
    <t>VERGA MOLDADA IN LOCO EM CONCRETO PARA JANELAS COM ATÉ 1,5 M DE VÃO. AF_03/2016</t>
  </si>
  <si>
    <t>SINAPI ou Cot. De Mercado</t>
  </si>
  <si>
    <t>TANQUE DE LOUÇA BRANCA COM COLUNA, 30L OU EQUIVALENTE, INCLUSO SIFÃO FLEXÍVEL EM PVC, VÁLVULA METÁLICA E TORNEIRA DE METAL CROMADO PADRÃO MÉDIO - FORNECIMENTO E INSTALAÇÃO. AF_12/2013</t>
  </si>
  <si>
    <t>JOELHO 90 GRAUS, PVC, SERIE NORMAL, ESGOTO PREDIAL, DN 100 MM, JUNTA ELÁSTICA, FORNECIDO E INSTALADO EM RAMAL DE DESCARGA OU RAMAL DE ESGOTO SANITÁRIO. AF_12/2014</t>
  </si>
  <si>
    <t xml:space="preserve">             HIDRÁULICA</t>
  </si>
  <si>
    <t>REGISTRO DE GAVETA BRUTO, LATÃO, ROSCÁVEL, 3/4", COM ACABAMENTO E CANOPLA CROMADOS. FORNECIDO E INSTALADO EM RAMAL DE ÁGUA. AF_12/2014</t>
  </si>
  <si>
    <t>ADAPTADOR CURTO COM BOLSA E ROSCA PARA REGISTRO, PVC, SOLDÁVEL, DN 25MM X 3/4, INSTALADO EM RAMAL OU SUB-RAMAL DE ÁGUA - FORNECIMENTO E INSTALAÇÃO. AF_12/2014</t>
  </si>
  <si>
    <t>DISJUNTOR MONOPOLAR TIPO DIN, CORRENTE NOMINAL DE 10A - FORNECIMENTO E INSTALAÇÃO. AF_04/2016</t>
  </si>
  <si>
    <t>CAIXA ENTERRADA ELÉTRICA RETANGULAR, EM ALVENARIA COM TIJOLOS CERÂMICOS MACIÇOS, FUNDO COM BRITA, DIMENSÕES INTERNAS: 0,6X0,6X0,6 M. AF_05/2018</t>
  </si>
  <si>
    <t>13.1</t>
  </si>
  <si>
    <t>13.2</t>
  </si>
  <si>
    <t>APLICAÇÃO DE FUNDO SELADOR LÁTEX PVA EM PAREDES, UMA DEMÃO. AF_06/2014</t>
  </si>
  <si>
    <t>COMP. ELE 03</t>
  </si>
  <si>
    <t>Serviços Finais</t>
  </si>
  <si>
    <t>SERVIÇOS FINAIS</t>
  </si>
  <si>
    <t>JOELHO 90 GRAUS, PVC, SERIE NORMAL, ESGOTO PREDIAL, DN 40 MM, JUNTA SOLDÁVEL, FORNECIDO E INSTALADO EM RAMAL DE DESCARGA OU RAMAL DE ESGOTOSANITÁRIO. AF_12/2014</t>
  </si>
  <si>
    <t>LUVA SOLDÁVEL E COM ROSCA, PVC, SOLDÁVEL, DN 25MM X 3/4, INSTALADO EM RAMAL OU SUB-RAMAL DE ÁGUA - FORNECIMENTO E INSTALAÇÃO. AF_12/2014</t>
  </si>
  <si>
    <t>CHUVEIRO ELETRICO COMUM CORPO PLASTICO TIPO DUCHA, FORNECIMENTO E INSTALACAO</t>
  </si>
  <si>
    <t>REGISTRO DE PRESSÃO BRUTO, LATÃO, ROSCÁVEL, 3/4", COM ACABAMENTO E CANOPLA CROMADOS. FORNECIDO E INSTALADO EM RAMAL DE ÁGUA. AF_12/2014</t>
  </si>
  <si>
    <t>ARMAÇÃO DE BLOCO, VIGA BALDRAME OU SAPATA UTILIZANDO AÇO CA-50 DE 6,3MM - MONTAGEM. AF_06/2017</t>
  </si>
  <si>
    <t>74157/004</t>
  </si>
  <si>
    <t xml:space="preserve">LANCAMENTO/APLICACAO MANUAL DE CONCRETO EM FUNDACOES </t>
  </si>
  <si>
    <t>VERGA MOLDADA IN LOCO EM CONCRETO PARA PORTAS COM ATÉ 1,5 M DE VÃO. AF _03/2016</t>
  </si>
  <si>
    <t>CAIXA SIFONADA, PVC, DN 100 X 100 X 50 MM, FORNECIDA E INSTALADA EM RAMAIS DE ENCAMINHAMENTO DE ÁGUA PLUVIAL. AF_12/2014</t>
  </si>
  <si>
    <t>CAIXA OCTOGONAL 3" X 3", PVC, INSTALADA EM LAJE - FORNECIMENTO E INSTALAÇÃO. AF_12/2015</t>
  </si>
  <si>
    <t>CAIXA RETANGULAR 4" X 2" ALTA (2,00 M DO PISO), PVC, INSTALADA EM PAREDE - FORNECIMENTO E INSTALAÇÃO. AF_12/2015</t>
  </si>
  <si>
    <t>ELETRODUTO FLEXÍVEL CORRUGADO, PVC, DN 25 MM (3/4"), PARA CIRCUITOS TERMINAIS, INSTALADO EM PAREDE - FORNECIMENTO E INSTALAÇÃO. AF_12/2015</t>
  </si>
  <si>
    <t>14.1</t>
  </si>
  <si>
    <t>PREPARO DE FUNDO DE VALA COM LARGURA MENOR QUE 1,5M EM LOCAL COM NÍVEL BAIXO DE INTERFERÊNCIA. AF_06/2016</t>
  </si>
  <si>
    <t>MASSA ÚNICA, PARA RECEBIMENTO DE PINTURA, EM ARGAMASSA TRAÇO 1:2:8, PREPARO MECÂNICO COM BETONEIRA 400L, APLICADA MANUALMENTE EM FACES INTERNAS DE PAREDES, ESPESSURA DE 20MM, COM EXECUÇÃO DE TALISCAS. AF_06/2014</t>
  </si>
  <si>
    <t>EMBOÇO, PARA RECEBIMENTO DE CERÂMICA, EM ARGAMASSA TRAÇO 1:2:8, PREPARO MECÂNICO COM BETONEIRA 400L, APLICADO MANUALMENTE EM FACES INTERNAS DE PAREDES, PARA AMBIENTE COM ÁREA MAIOR QUE 10M2, ESPESSURA DE 20MM, COM EXECUÇÃO DE TALISCAS. AF_06/2014</t>
  </si>
  <si>
    <t>TELHAMENTO COM TELHA ONDULADA DE FIBROCIMENTO E = 6 MM, COM RECOBRIMENTO LATERAL DE 1/4 DE ONDA PARA TELHADO COM INCLINAÇÃO MAIOR QUE 10°, COM ATÉ 2 ÁGUAS, INCLUSO IÇAMENTO.AF_06/2016</t>
  </si>
  <si>
    <t>12.3</t>
  </si>
  <si>
    <t>KIT DE ACESSORIOS PARA BANHEIRO EM METAL CROMADO, 5 PECAS, INCLUSO FIXAÇÃO. AF_10/2016</t>
  </si>
  <si>
    <t>LAVATÓRIO LOUÇA BRANCA COM COLUNA, 45 X 55CM OU EQUIVALENTE, PADRÃO MÉDIO, INCLUSO SIFÃO TIPO GARRAFA, VÁLVULA E ENGATE FLEXÍVEL DE 40CM EM METAL CROMADO, COM TORNEIRA CROMADA DE MESA, PADRÃO MÉDIO - FORNECIMENTO E INSTALAÇÃO. AF_12/2013</t>
  </si>
  <si>
    <t>ALVENARIA DE VEDAÇÃO DE BLOCOS CERÂMICOS FURADOS NA HORIZONTAL DE 14X9X19CM (ESPESSURA 14CM, BLOCO DEITADO) DE PAREDES COM ÁREA LÍQUIDA MAIOR OU IGUAL A 6M² COM VÃOS E ARGAMASSA DE ASSENTAMENTO COM PREPARO EM BETONEIRA. AF_06/2014</t>
  </si>
  <si>
    <t>REVESTIMENTO CERÂMICO P/ PISO COM PLACAS TIPO ESMALTADA EXTRA DE DIMENSÕES 45X45CM, APLICADA EM AMBIENTES DE ÁREA MAIOR QUE 10 M². AF_06/2014</t>
  </si>
  <si>
    <t>ARGAMASSA TRAÇO 1:3 (CIMENTO E AREIA MÉDIA) PARA CONTRAPISO, PREPARO MECÂNICO COM BETONEIRA 400 L. AF_06/2014</t>
  </si>
  <si>
    <t>CAIXA DE GORDURA DUPLA, CIRCULAR, EM CONCRETO PRÉ-MOLDADO, DIÂMETRO INTERNO = 0,6 M, ALTURA INTERNA = 0,6 M. AF_05/2018</t>
  </si>
  <si>
    <t>TANQUE SÉPTICO CIRCULAR, EM CONCRETO PRÉ-MOLDADO, DIÂMETRO INTERNO = 1,10 M, ALTURA INTERNA = 2,50 M, VOLUME ÚTIL: 2138,2 L (PARA 5 CONTRIBUINTES). AF_05/2018</t>
  </si>
  <si>
    <t>FILTRO ANAERÓBIO RETANGULAR, EM ALVENARIA COM BLOCOS DE CONCRETO, DIMENSÕES INTERNAS: 0,8 X 1,2 X 1,67 M, VOLUME ÚTIL: 1152 L (PARA 5 CONTRIBUINTES). AF_05/2018</t>
  </si>
  <si>
    <t>TRAMA DE MADEIRA COMPOSTA POR TERÇAS PARA TELHADOS DE ATÉ 2 ÁGUAS PARA TELHA ONDULADA DE FIBROCIMENTO, METÁLICA, PLÁSTICA OU TERMOACÚSTICA,INCLUSO TRANSPORTE VERTICAL. AF_12/2015</t>
  </si>
  <si>
    <t>CABO DE COBRE FLEXÍVEL ISOLADO, 4 MM², ANTI-CHAMA 0,6/1,0 KV, PARA CIRCUITOS TERMINAIS - FORNECIMENTO E INSTALAÇÃO. AF_12/2015</t>
  </si>
  <si>
    <t>CAIXA RETANGULAR 4" X 2" BAIXA (0,30 M DO PISO), PVC, INSTALADA EM PAREDE - FORNECIMENTO E INSTALAÇÃO. AF_12/2015</t>
  </si>
  <si>
    <t>TOMADA BAIXA DE EMBUTIR (1 MÓDULO), 2P+T 10 A, INCLUINDO SUPORTE E PLACA - FORNECIMENTO E INSTALAÇÃO. AF_12/2015</t>
  </si>
  <si>
    <t>TOMADA MÉDIA DE EMBUTIR (1 MÓDULO), 2P+T 10 A, INCLUINDO SUPORTE E PLACA - FORNECIMENTO E INSTALAÇÃO. AF_12/2015</t>
  </si>
  <si>
    <t>INTERRUPTOR SIMPLES (1 MÓDULO), 10A/250V, INCLUINDO SUPORTE E PLACA -FORNECIMENTO E INSTALAÇÃO. AF_12/2015</t>
  </si>
  <si>
    <t>00711/ORSE</t>
  </si>
  <si>
    <t>FORNECIMENTO E INSTALAÇÃO DE TAMPA CEGA  (espelho liso) PARA CAIXA 4" x 2"</t>
  </si>
  <si>
    <t>LUMINÁRIA TIPO PLAFON, DE SOBREPOR, COM 1 LÂMPADA LED - FORNECIMENTO E INSTALAÇÃO. AF_11/2017</t>
  </si>
  <si>
    <t>SINAPI/SINFRA ou Cot. De Mercado</t>
  </si>
  <si>
    <t>ARGAMASSA COLANTE AC I PARA CERAMICAS</t>
  </si>
  <si>
    <t>REJUNTE COLORIDO, CIMENTICIO</t>
  </si>
  <si>
    <t>AZULEJISTA OU LADRILHISTA COM ENCARGOS COMPLEMENTARES</t>
  </si>
  <si>
    <t>* baseada na composição 88650 Sinap - JULHO/2018</t>
  </si>
  <si>
    <t>PISO EM CERAMICA ESMALTADA EXTRA, PEI MAIOR OU IGUAL A 4, FORMATO MAIOR QUE 2025 CM2</t>
  </si>
  <si>
    <t>COMPOSIÇÃO 02</t>
  </si>
  <si>
    <t>DISPOSITIVO DE PROTEÇÃO CONTRA SURTO DE TENSÃO DPS 20kA - 175v</t>
  </si>
  <si>
    <t>DISPOSITIVO DPS CLASSE II, 1 POLO, TENSAO MAXIMA DE 175 V, CORRENTE MAXIMA DE *20*KA (TIPO AC</t>
  </si>
  <si>
    <t>COMP. ELE 04</t>
  </si>
  <si>
    <t>Composições Eletricas</t>
  </si>
  <si>
    <t>3.3</t>
  </si>
  <si>
    <t>4.4</t>
  </si>
  <si>
    <t>4.5</t>
  </si>
  <si>
    <t>4.6</t>
  </si>
  <si>
    <t>7.2</t>
  </si>
  <si>
    <t>7.3</t>
  </si>
  <si>
    <t>7.4</t>
  </si>
  <si>
    <t>11.3</t>
  </si>
  <si>
    <t>11.4</t>
  </si>
  <si>
    <t>13.3</t>
  </si>
  <si>
    <t>1.2</t>
  </si>
  <si>
    <t>2.3</t>
  </si>
  <si>
    <t>3.4</t>
  </si>
  <si>
    <t>3.5</t>
  </si>
  <si>
    <t>3.6</t>
  </si>
  <si>
    <t>3.7</t>
  </si>
  <si>
    <t>3.8</t>
  </si>
  <si>
    <t>6.2</t>
  </si>
  <si>
    <t>6.3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</si>
  <si>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</si>
  <si>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</si>
  <si>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</si>
  <si>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</si>
  <si>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</si>
  <si>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</si>
  <si>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</si>
  <si>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</si>
  <si>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</si>
  <si>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</si>
  <si>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</si>
  <si>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</si>
  <si>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</si>
  <si>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</si>
  <si>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</si>
  <si>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</si>
  <si>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</si>
  <si>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</si>
  <si>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UNID.</t>
  </si>
  <si>
    <t>* baseada na composição 09960/ORSE - JULHO/2018</t>
  </si>
  <si>
    <t>ANEL DE CONCRETO ARMADO, D = 1,00 M, H = 0,50 M</t>
  </si>
  <si>
    <t>CONCRETO FCK = 15MPA, TRAÇO 1:3,4:3,5 (CIMENTO/ AREIA MÉDIA/ BRITA 1) - PREPARO MECÂNICO COM BETONEIRA 400 L. AF_07/2016</t>
  </si>
  <si>
    <t>00545/ORSE</t>
  </si>
  <si>
    <t>CASCALHINHO OU PEDRISCO (BRITA 0), COM FRETE</t>
  </si>
  <si>
    <t>SUMIDOURO PRE-MOLDADO DE CONCRETO - 06 ANEIS, ø=1,00M e h=0,50M CADA ANEL (1,00 x 3,00m)</t>
  </si>
  <si>
    <t>COMPOSIÇÃO 001</t>
  </si>
  <si>
    <t xml:space="preserve">                                       Fonte de valores:SINAPI - 08/2018-DESONERADO</t>
  </si>
  <si>
    <t>AMARÇÃO DE PILAR OU VIGA DE UMA ESTRUTURA CONVENCIONAL DE CONCRETO ARMADO EM UMA EDIFICAÇÃO TÉRREA OU SOBRADO UTILIZANDO AÇO CA-50 DE 6,3MM- MONTAGEM. AF_12/2015</t>
  </si>
  <si>
    <t>AMARÇÃO DE PILAR OU VIGA DE UMA ESTRUTURA CONVENCIONAL DE CONCRETO ARMADO EM UMA EDIFICAÇÃO TÉRREA OU SOBRADO UTILIZANDO AÇO CA-50 DE 12,5MM- MONTAGEM. AF_12/2015</t>
  </si>
  <si>
    <t>ARMAÇÃO DE BLOCO, VIGA BALDRAME OU SAPATA UTILIZANDO AÇO CA-50 DE 8,0MM - MONTAGEM. AF_06/2017</t>
  </si>
  <si>
    <t>LAJE</t>
  </si>
  <si>
    <t>LAJE PRÉ-FABRICADA TRELIÇADA PARA PISO OU COBERTURA, INTEREIXO 38CM, H= 12CM, EL. ENCHIMENTO EM EPS H-8CM, INCLUSIVE ESCORAMENTO EM MADEIRA E CAPEAMENTO 4CM</t>
  </si>
  <si>
    <t>4.7</t>
  </si>
  <si>
    <t>LAJE PRE-MOLDADA CONVENCIONAL (LAJOTAS + VIGOTAS) PARA FORRO, UNIDIRECIONAL, SOBRECARGA DE 100 KG/M2, VAO ATE 4,00 M (SEM COLOCACAO)</t>
  </si>
  <si>
    <t>CAIBRO DE MADEIRA NAO APARELHADA *5 X 6* CM, MACARANDUBA, ANGELIM OU EQUIVALENTE DA REGIAO</t>
  </si>
  <si>
    <t>PECA DE MADEIRA NATIVA/REGIONAL 2,5 X 7,0 CM (SARRAFO-P/FORMA)</t>
  </si>
  <si>
    <t>AREIA GROSSA - POSTO JAZIDA/FORNECEDOR (RETIRADO NA JAZIDA, SEM TRANSPORTE)</t>
  </si>
  <si>
    <t>M3</t>
  </si>
  <si>
    <t>CIMENTO PORTLAND COMPOSTO CP II-32</t>
  </si>
  <si>
    <t>PEDRA BRITADA N. 2 (19 A 38 MM) POSTO PEDREIRA/FORNECEDOR, SEM FRETE</t>
  </si>
  <si>
    <t>PEDRA BRITADA N. 1 (9,5 a 19 MM) POSTO PEDREIRA/FORNECEDOR, SEM FRETE</t>
  </si>
  <si>
    <t>PREGO DE ACO POLIDO COM CABECA 18 X 30 (2 3/4 X 10)</t>
  </si>
  <si>
    <t>TABUA MADEIRA 3A QUALIDADE 2,5 X 23,0CM (1 X 9") NAO APARELHADA</t>
  </si>
  <si>
    <t>ACO CA-50, 6,3 MM, DOBRADO E CORTADO</t>
  </si>
  <si>
    <t>88309</t>
  </si>
  <si>
    <t>PEDREIRO COM ENCARGOS COMPLEMENTARES</t>
  </si>
  <si>
    <t>* baseada na composição 07393/ORSE</t>
  </si>
  <si>
    <t>TELHAMENTO COM TELHA DE AÇO/ALUMÍNIO E = 0,5 MM, COM ATÉ 2 ÁGUAS, INCLUSO IÇAMENTO. AF_06/2016</t>
  </si>
  <si>
    <t>CUMEEIRA EM PERFIL ONDULADO DE ALUMÍNIO</t>
  </si>
  <si>
    <t>PORTA DE ALUMÍNIO DE ABRIR COM LAMBRI, COM GUARNIÇÃO, FIXAÇÃO COM PARAFUSOS - FORNECIMENTO E INSTALAÇÃO. AF_08/2015</t>
  </si>
  <si>
    <t>JANELA DE ALUMÍNIO DE CORRER, 4 FOLHAS, FIXAÇÃO COM ARGAMASSA, COM VIDROS, PADRONIZADA. AF_07/2016</t>
  </si>
  <si>
    <t xml:space="preserve">RODAPÉ CERÂMICO DE 7CM DE ALTURA COM PLACAS ESMALTADA EXTRA DE DIMENSÕES 60X60CM. </t>
  </si>
  <si>
    <t>APLICAÇÃO MANUAL DE PINTURA COM TINTA LÁTEX PVA EM TETO, DUAS DEMÃOS. AF_06/2014</t>
  </si>
  <si>
    <t>APLICAÇÃO DE FUNDO SELADOR LÁTEX PVA EM TETO, UMA DEMÃO. AF_06/2014</t>
  </si>
  <si>
    <t>12.4</t>
  </si>
  <si>
    <t>12.5</t>
  </si>
  <si>
    <t>PINTURA EPOXI, DUAS DEMAOS</t>
  </si>
  <si>
    <t>DISJUNTOR TRIPOLAR TIPO DIN, CORRENTE NOMINAL DE 10A - FORNECIMENTO E INSTALAÇÃO. AF_04/2016</t>
  </si>
  <si>
    <t>DISJUNTOR BIPOLAR TIPO DIN, CORRENTE NOMINAL DE 25A - FORNECIMENTO E INSTALAÇÃO. AF_04/2016</t>
  </si>
  <si>
    <t>Disjuntor tetrapolar DR 40 A - Dispositivo residual diferencial, tipo AC, 30MA</t>
  </si>
  <si>
    <t xml:space="preserve">DISJUNTOR TETRAPOLAR DR 40A - DISPOSITIVO RESIDUAL DIFERENCIAL, TIPO AC, 30MA </t>
  </si>
  <si>
    <t>74131/006</t>
  </si>
  <si>
    <t>QUADRO DE DISTRIBUICAO DE ENERGIA DE EMBUTIR, EM CHAPA METALICA, PARA 32 DISJUNTORES TERMOMAGNETICOS MONOPOLARES, COM BARRAMENTO TRIFASICO E NEUTRO, FORNECIMENTO E INSTALACAO</t>
  </si>
  <si>
    <t>ADAPTADOR CURTO COM BOLSA E ROSCA PARA REGISTRO, PVC, SOLDÁVEL, DN 60MM X 2", INSTALADO EM PRUMADA DE ÁGUA - FORNECIMENTO E INSTALAÇÃO.AF_12/2014</t>
  </si>
  <si>
    <t>ADAPTADOR COM FLANGE E ANEL DE VEDAÇÃO, PVC, SOLDÁVEL, DN 50 MM X 1 1/2 , INSTALADO EM RESERVAÇÃO DE ÁGUA DE EDIFICAÇÃO QUE POSSUA RESERVATÓRIO DE FIBRA/FIBROCIMENTO FORNECIMENTO E INSTALAÇÃO. AF_06/2016</t>
  </si>
  <si>
    <t>REGISTRO DE GAVETA BRUTO, LATÃO, ROSCÁVEL, 2", INSTALADO EM RESERVAÇÃO DE ÁGUA DE EDIFICAÇÃO QUE POSSUA RESERVATÓRIO DE FIBRA/FIBROCIMENTO FORNECIMENTO E INSTALAÇÃO. AF_06/2016</t>
  </si>
  <si>
    <t>VASO SANITÁRIO SIFONADO COM CAIXA ACOPLADA LOUÇA BRANCA - PADRÃO MÉDIO, INCLUSO ENGATE FLEXÍVEL EM METAL CROMADO, 1/2 X 40CM - FORNECIMENTO E INSTALAÇÃO. AF_12/2013</t>
  </si>
  <si>
    <t>TORNEIRA CROMADA TUBO MÓVEL, DE PAREDE, 1/2" OU 3/4", PARA PIA DE COZINHA, PADRÃO MÉDIO - FORNECIMENTO E INSTALAÇÃO. AF_12/2013</t>
  </si>
  <si>
    <t>COMPOSIÇÃO 005</t>
  </si>
  <si>
    <t>COMPOSIÇÃO 05</t>
  </si>
  <si>
    <t>BUCHA DE REDUÇÃO LONGA, PVC, SERIE R, ÁGUA PLUVIAL, DN 50 X 40 MM, JUNTA ELÁSTICA, FORNECIDO E INSTALADO EM RAMAL DE ENCAMINHAMENTO. AF_12/2014</t>
  </si>
  <si>
    <t>JOELHO 45 GRAUS, PVC, SERIE NORMAL, ESGOTO PREDIAL, DN 50 MM, JUNTA ELÁSTICA, FORNECIDO E INSTALADO EM RAMAL DE DESCARGA OU RAMAL DE ESGOTO SANITÁRIO. AF_12/2014</t>
  </si>
  <si>
    <t>JUNÇÃO SIMPLES, PVC, SERIE NORMAL, ESGOTO PREDIAL, DN 50 X 50 MM, JUNTA ELÁSTICA, FORNECIDO E INSTALADO EM RAMAL DE DESCARGA OU RAMAL DE ESGOTO SANITÁRIO. AF_12/2014</t>
  </si>
  <si>
    <t>Nota Técnica: O Serviços que correspondem a sondagem do tipo SPT serão realizados pela equipe técnica da Administração Municipal, estando assim a parte deste orçamento.</t>
  </si>
  <si>
    <t>1.3</t>
  </si>
  <si>
    <t>4.8</t>
  </si>
  <si>
    <t>4.9</t>
  </si>
  <si>
    <t>6.1</t>
  </si>
  <si>
    <t>9.1</t>
  </si>
  <si>
    <t>9.2</t>
  </si>
  <si>
    <t>10.3</t>
  </si>
  <si>
    <t>10.4</t>
  </si>
  <si>
    <t>11.5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</si>
  <si>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</si>
  <si>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</si>
  <si>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</si>
  <si>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</si>
  <si>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</si>
  <si>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</si>
  <si>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</si>
  <si>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</si>
  <si>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</si>
  <si>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</si>
  <si>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</si>
  <si>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</si>
  <si>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</si>
  <si>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</si>
  <si>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</si>
  <si>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</si>
  <si>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</si>
  <si>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</si>
  <si>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</si>
  <si>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</si>
  <si>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</si>
  <si>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</si>
  <si>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</si>
  <si>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</si>
  <si>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</si>
  <si>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</si>
  <si>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</si>
  <si>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</si>
  <si>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</si>
  <si>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</si>
  <si>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RESPONSÁVEL TÉCNICO: AMINADALB ALVES DE SOUZA JUNIOR - ENGENHEIRO CIVIL</t>
  </si>
  <si>
    <t>CREA-MT 015706</t>
  </si>
  <si>
    <t>REGULARIZAÇÃO E REFORMA DO CENTRO MUNICIPAL DE SAÚDE - ANEXO LAVANDERIA</t>
  </si>
  <si>
    <t xml:space="preserve"> Local da Obra: Rua das Flores, Quadra 54, Jardim Novo Campo                                                                                                                                          Coordenadas Geograficas da Obra: Latitude 14°49'09"S - Longitude 53°37'09"O</t>
  </si>
  <si>
    <t>DATA:02/10/2018</t>
  </si>
  <si>
    <t xml:space="preserve">       CRONOGRAMA FÍSICO-FINANCEIRO </t>
  </si>
  <si>
    <t>DEMOLIÇÃO DE ALVENARIA DE BLOCO FURADO, DE FORMA MANUAL, COM REAPROVEITAMENTO. AF_12/2017</t>
  </si>
  <si>
    <t>INSUMOS E COMPOSIÇÕES / REF. SINAPI/MT - AGOSTO/2018</t>
  </si>
  <si>
    <t xml:space="preserve">IMPORTA O PRESENTE ORÇAMENTO EM R$- CENTO E OITENTA E CINCO MIL, CENTO E TRINTA E SEIS REAIS E  UM CENTAVO </t>
  </si>
</sst>
</file>

<file path=xl/styles.xml><?xml version="1.0" encoding="utf-8"?>
<styleSheet xmlns="http://schemas.openxmlformats.org/spreadsheetml/2006/main">
  <numFmts count="6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#,##0.0000"/>
    <numFmt numFmtId="167" formatCode="0.000"/>
    <numFmt numFmtId="168" formatCode="0.0000"/>
    <numFmt numFmtId="169" formatCode="_(* #,##0.000_);_(* \(#,##0.000\);_(* &quot;-&quot;??_);_(@_)"/>
  </numFmts>
  <fonts count="3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9"/>
      <color indexed="10"/>
      <name val="Geneva"/>
      <family val="2"/>
    </font>
    <font>
      <b/>
      <u/>
      <sz val="18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Arial"/>
      <family val="2"/>
    </font>
    <font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4">
    <xf numFmtId="0" fontId="0" fillId="0" borderId="0"/>
    <xf numFmtId="0" fontId="20" fillId="0" borderId="0"/>
    <xf numFmtId="0" fontId="20" fillId="0" borderId="0"/>
    <xf numFmtId="0" fontId="19" fillId="0" borderId="0"/>
    <xf numFmtId="0" fontId="2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29" fillId="0" borderId="0"/>
    <xf numFmtId="0" fontId="9" fillId="0" borderId="0"/>
    <xf numFmtId="0" fontId="27" fillId="0" borderId="0"/>
    <xf numFmtId="0" fontId="27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471">
    <xf numFmtId="0" fontId="0" fillId="0" borderId="0" xfId="0"/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168" fontId="0" fillId="0" borderId="0" xfId="0" applyNumberFormat="1"/>
    <xf numFmtId="4" fontId="0" fillId="0" borderId="0" xfId="0" applyNumberFormat="1" applyAlignment="1">
      <alignment horizont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/>
    <xf numFmtId="0" fontId="0" fillId="0" borderId="0" xfId="0" applyBorder="1" applyAlignment="1">
      <alignment horizontal="left" vertical="center" wrapText="1"/>
    </xf>
    <xf numFmtId="0" fontId="9" fillId="0" borderId="0" xfId="0" applyFont="1"/>
    <xf numFmtId="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8" fontId="0" fillId="2" borderId="0" xfId="0" applyNumberFormat="1" applyFill="1"/>
    <xf numFmtId="0" fontId="0" fillId="0" borderId="0" xfId="0" applyFill="1"/>
    <xf numFmtId="0" fontId="13" fillId="0" borderId="0" xfId="0" applyFont="1" applyFill="1"/>
    <xf numFmtId="2" fontId="0" fillId="5" borderId="1" xfId="0" applyNumberFormat="1" applyFill="1" applyBorder="1" applyAlignment="1">
      <alignment horizontal="center" vertical="center" wrapText="1"/>
    </xf>
    <xf numFmtId="168" fontId="0" fillId="5" borderId="1" xfId="0" applyNumberForma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0" fillId="5" borderId="1" xfId="0" quotePrefix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center" wrapText="1"/>
    </xf>
    <xf numFmtId="10" fontId="7" fillId="5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9" fillId="0" borderId="0" xfId="0" applyFont="1" applyBorder="1"/>
    <xf numFmtId="0" fontId="16" fillId="0" borderId="2" xfId="0" applyFont="1" applyBorder="1"/>
    <xf numFmtId="0" fontId="9" fillId="0" borderId="2" xfId="0" applyFont="1" applyBorder="1"/>
    <xf numFmtId="0" fontId="7" fillId="0" borderId="3" xfId="0" applyFont="1" applyBorder="1"/>
    <xf numFmtId="0" fontId="16" fillId="0" borderId="3" xfId="0" applyFont="1" applyBorder="1"/>
    <xf numFmtId="0" fontId="18" fillId="0" borderId="4" xfId="0" applyFont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10" fontId="16" fillId="0" borderId="6" xfId="34" applyNumberFormat="1" applyFont="1" applyBorder="1"/>
    <xf numFmtId="10" fontId="16" fillId="0" borderId="4" xfId="34" applyNumberFormat="1" applyFont="1" applyBorder="1"/>
    <xf numFmtId="165" fontId="16" fillId="0" borderId="8" xfId="50" applyFont="1" applyBorder="1"/>
    <xf numFmtId="165" fontId="16" fillId="0" borderId="7" xfId="50" applyFont="1" applyBorder="1"/>
    <xf numFmtId="165" fontId="16" fillId="0" borderId="4" xfId="50" applyFont="1" applyBorder="1"/>
    <xf numFmtId="165" fontId="16" fillId="3" borderId="1" xfId="50" applyFont="1" applyFill="1" applyBorder="1"/>
    <xf numFmtId="165" fontId="16" fillId="4" borderId="4" xfId="50" applyFont="1" applyFill="1" applyBorder="1"/>
    <xf numFmtId="10" fontId="16" fillId="0" borderId="9" xfId="34" applyNumberFormat="1" applyFont="1" applyFill="1" applyBorder="1"/>
    <xf numFmtId="10" fontId="16" fillId="0" borderId="5" xfId="34" applyNumberFormat="1" applyFont="1" applyFill="1" applyBorder="1"/>
    <xf numFmtId="165" fontId="16" fillId="3" borderId="10" xfId="50" applyFont="1" applyFill="1" applyBorder="1"/>
    <xf numFmtId="10" fontId="16" fillId="3" borderId="1" xfId="34" applyNumberFormat="1" applyFont="1" applyFill="1" applyBorder="1"/>
    <xf numFmtId="10" fontId="16" fillId="0" borderId="5" xfId="34" applyNumberFormat="1" applyFont="1" applyBorder="1"/>
    <xf numFmtId="10" fontId="16" fillId="0" borderId="11" xfId="34" applyNumberFormat="1" applyFont="1" applyBorder="1"/>
    <xf numFmtId="10" fontId="16" fillId="4" borderId="5" xfId="34" applyNumberFormat="1" applyFont="1" applyFill="1" applyBorder="1"/>
    <xf numFmtId="10" fontId="16" fillId="4" borderId="11" xfId="34" applyNumberFormat="1" applyFont="1" applyFill="1" applyBorder="1"/>
    <xf numFmtId="165" fontId="16" fillId="0" borderId="11" xfId="50" applyFont="1" applyFill="1" applyBorder="1"/>
    <xf numFmtId="165" fontId="16" fillId="0" borderId="11" xfId="50" applyFont="1" applyBorder="1"/>
    <xf numFmtId="165" fontId="16" fillId="0" borderId="12" xfId="50" applyFont="1" applyFill="1" applyBorder="1"/>
    <xf numFmtId="10" fontId="16" fillId="4" borderId="12" xfId="34" applyNumberFormat="1" applyFont="1" applyFill="1" applyBorder="1"/>
    <xf numFmtId="165" fontId="18" fillId="0" borderId="7" xfId="50" applyFont="1" applyBorder="1"/>
    <xf numFmtId="9" fontId="18" fillId="0" borderId="1" xfId="34" applyNumberFormat="1" applyFont="1" applyBorder="1" applyAlignment="1">
      <alignment horizontal="center"/>
    </xf>
    <xf numFmtId="165" fontId="18" fillId="0" borderId="1" xfId="50" applyFont="1" applyBorder="1" applyAlignment="1">
      <alignment horizontal="center"/>
    </xf>
    <xf numFmtId="165" fontId="16" fillId="0" borderId="1" xfId="0" applyNumberFormat="1" applyFont="1" applyBorder="1"/>
    <xf numFmtId="0" fontId="18" fillId="0" borderId="0" xfId="0" applyFont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165" fontId="9" fillId="0" borderId="0" xfId="0" applyNumberFormat="1" applyFont="1"/>
    <xf numFmtId="0" fontId="0" fillId="0" borderId="0" xfId="0" applyBorder="1"/>
    <xf numFmtId="4" fontId="7" fillId="5" borderId="1" xfId="0" applyNumberFormat="1" applyFont="1" applyFill="1" applyBorder="1" applyAlignment="1">
      <alignment horizontal="center" vertical="center"/>
    </xf>
    <xf numFmtId="10" fontId="7" fillId="0" borderId="0" xfId="44" applyNumberFormat="1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4" fontId="12" fillId="5" borderId="0" xfId="0" applyNumberFormat="1" applyFont="1" applyFill="1" applyBorder="1" applyAlignment="1">
      <alignment horizontal="center" vertical="center" wrapText="1"/>
    </xf>
    <xf numFmtId="4" fontId="12" fillId="6" borderId="0" xfId="0" applyNumberFormat="1" applyFont="1" applyFill="1" applyBorder="1" applyAlignment="1">
      <alignment horizontal="center" vertical="center" wrapText="1"/>
    </xf>
    <xf numFmtId="4" fontId="12" fillId="6" borderId="0" xfId="0" applyNumberFormat="1" applyFont="1" applyFill="1" applyBorder="1" applyAlignment="1">
      <alignment horizontal="center" vertical="center"/>
    </xf>
    <xf numFmtId="4" fontId="9" fillId="6" borderId="0" xfId="0" applyNumberFormat="1" applyFont="1" applyFill="1" applyBorder="1" applyAlignment="1">
      <alignment horizontal="right" vertical="center"/>
    </xf>
    <xf numFmtId="4" fontId="9" fillId="6" borderId="0" xfId="45" applyNumberFormat="1" applyFont="1" applyFill="1" applyBorder="1" applyAlignment="1">
      <alignment vertical="center"/>
    </xf>
    <xf numFmtId="4" fontId="7" fillId="6" borderId="0" xfId="0" applyNumberFormat="1" applyFont="1" applyFill="1" applyBorder="1" applyAlignment="1">
      <alignment horizontal="right" vertical="center"/>
    </xf>
    <xf numFmtId="0" fontId="9" fillId="5" borderId="0" xfId="0" applyNumberFormat="1" applyFont="1" applyFill="1" applyBorder="1" applyAlignment="1">
      <alignment horizontal="center" vertical="center"/>
    </xf>
    <xf numFmtId="0" fontId="7" fillId="5" borderId="0" xfId="0" quotePrefix="1" applyFont="1" applyFill="1" applyBorder="1" applyAlignment="1">
      <alignment horizontal="center" vertical="center" wrapText="1"/>
    </xf>
    <xf numFmtId="4" fontId="17" fillId="6" borderId="0" xfId="0" applyNumberFormat="1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justify" vertical="center" wrapText="1"/>
    </xf>
    <xf numFmtId="4" fontId="9" fillId="5" borderId="0" xfId="45" applyNumberFormat="1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left" vertical="center" wrapText="1"/>
    </xf>
    <xf numFmtId="4" fontId="0" fillId="0" borderId="0" xfId="0" applyNumberFormat="1" applyAlignment="1">
      <alignment vertical="center" wrapText="1"/>
    </xf>
    <xf numFmtId="0" fontId="22" fillId="0" borderId="0" xfId="24" applyFont="1" applyBorder="1"/>
    <xf numFmtId="4" fontId="9" fillId="0" borderId="0" xfId="45" applyNumberFormat="1" applyFont="1" applyFill="1" applyBorder="1" applyAlignment="1">
      <alignment vertical="center"/>
    </xf>
    <xf numFmtId="10" fontId="16" fillId="0" borderId="7" xfId="34" applyNumberFormat="1" applyFont="1" applyBorder="1"/>
    <xf numFmtId="10" fontId="16" fillId="0" borderId="12" xfId="34" applyNumberFormat="1" applyFont="1" applyFill="1" applyBorder="1"/>
    <xf numFmtId="0" fontId="16" fillId="0" borderId="22" xfId="0" applyFont="1" applyBorder="1" applyAlignment="1">
      <alignment horizontal="left" vertical="center"/>
    </xf>
    <xf numFmtId="165" fontId="16" fillId="0" borderId="23" xfId="50" applyFont="1" applyBorder="1"/>
    <xf numFmtId="165" fontId="16" fillId="0" borderId="22" xfId="50" applyFont="1" applyBorder="1"/>
    <xf numFmtId="0" fontId="18" fillId="4" borderId="17" xfId="0" applyFont="1" applyFill="1" applyBorder="1" applyAlignment="1">
      <alignment horizontal="center" vertical="center"/>
    </xf>
    <xf numFmtId="10" fontId="7" fillId="0" borderId="0" xfId="44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" fontId="9" fillId="8" borderId="0" xfId="0" applyNumberFormat="1" applyFont="1" applyFill="1" applyBorder="1" applyAlignment="1">
      <alignment horizontal="right" vertical="center"/>
    </xf>
    <xf numFmtId="0" fontId="0" fillId="8" borderId="0" xfId="0" applyFill="1" applyAlignment="1">
      <alignment vertical="center" wrapText="1"/>
    </xf>
    <xf numFmtId="0" fontId="22" fillId="8" borderId="0" xfId="24" applyFont="1" applyFill="1" applyBorder="1"/>
    <xf numFmtId="4" fontId="9" fillId="8" borderId="0" xfId="45" applyNumberFormat="1" applyFont="1" applyFill="1" applyBorder="1" applyAlignment="1">
      <alignment vertical="center"/>
    </xf>
    <xf numFmtId="0" fontId="7" fillId="8" borderId="0" xfId="0" applyFont="1" applyFill="1" applyAlignment="1">
      <alignment vertical="center"/>
    </xf>
    <xf numFmtId="167" fontId="22" fillId="8" borderId="0" xfId="24" applyNumberFormat="1" applyFont="1" applyFill="1" applyBorder="1"/>
    <xf numFmtId="0" fontId="14" fillId="8" borderId="0" xfId="0" applyFont="1" applyFill="1" applyAlignment="1">
      <alignment vertical="center"/>
    </xf>
    <xf numFmtId="0" fontId="9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13" fillId="8" borderId="0" xfId="0" applyFont="1" applyFill="1" applyAlignment="1">
      <alignment vertical="center" wrapText="1"/>
    </xf>
    <xf numFmtId="0" fontId="7" fillId="8" borderId="0" xfId="0" quotePrefix="1" applyFont="1" applyFill="1" applyBorder="1" applyAlignment="1">
      <alignment horizontal="center" vertical="center" wrapText="1"/>
    </xf>
    <xf numFmtId="0" fontId="0" fillId="8" borderId="0" xfId="0" applyFill="1"/>
    <xf numFmtId="0" fontId="13" fillId="8" borderId="0" xfId="0" applyFont="1" applyFill="1"/>
    <xf numFmtId="0" fontId="0" fillId="2" borderId="0" xfId="0" applyFill="1" applyBorder="1"/>
    <xf numFmtId="0" fontId="26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4" fontId="12" fillId="7" borderId="0" xfId="0" applyNumberFormat="1" applyFont="1" applyFill="1" applyBorder="1" applyAlignment="1">
      <alignment horizontal="center" vertical="center"/>
    </xf>
    <xf numFmtId="0" fontId="7" fillId="7" borderId="0" xfId="0" applyFont="1" applyFill="1" applyBorder="1" applyAlignment="1">
      <alignment vertical="center"/>
    </xf>
    <xf numFmtId="10" fontId="9" fillId="7" borderId="0" xfId="0" applyNumberFormat="1" applyFont="1" applyFill="1" applyBorder="1" applyAlignment="1">
      <alignment horizontal="right" vertical="center"/>
    </xf>
    <xf numFmtId="4" fontId="9" fillId="7" borderId="0" xfId="0" applyNumberFormat="1" applyFont="1" applyFill="1" applyBorder="1" applyAlignment="1">
      <alignment vertical="center"/>
    </xf>
    <xf numFmtId="10" fontId="7" fillId="7" borderId="0" xfId="0" applyNumberFormat="1" applyFont="1" applyFill="1" applyBorder="1" applyAlignment="1">
      <alignment horizontal="right" vertical="center"/>
    </xf>
    <xf numFmtId="4" fontId="7" fillId="7" borderId="0" xfId="0" applyNumberFormat="1" applyFont="1" applyFill="1" applyBorder="1" applyAlignment="1">
      <alignment vertical="center"/>
    </xf>
    <xf numFmtId="10" fontId="9" fillId="8" borderId="0" xfId="0" applyNumberFormat="1" applyFont="1" applyFill="1" applyBorder="1" applyAlignment="1">
      <alignment horizontal="right" vertical="center"/>
    </xf>
    <xf numFmtId="4" fontId="9" fillId="8" borderId="0" xfId="0" applyNumberFormat="1" applyFont="1" applyFill="1" applyBorder="1" applyAlignment="1">
      <alignment vertical="center"/>
    </xf>
    <xf numFmtId="10" fontId="7" fillId="5" borderId="0" xfId="0" applyNumberFormat="1" applyFont="1" applyFill="1" applyBorder="1" applyAlignment="1">
      <alignment horizontal="right" vertical="center"/>
    </xf>
    <xf numFmtId="10" fontId="9" fillId="0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vertical="center"/>
    </xf>
    <xf numFmtId="4" fontId="17" fillId="7" borderId="0" xfId="0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vertical="center" wrapText="1"/>
    </xf>
    <xf numFmtId="10" fontId="9" fillId="9" borderId="0" xfId="0" applyNumberFormat="1" applyFont="1" applyFill="1" applyBorder="1" applyAlignment="1">
      <alignment horizontal="right" vertical="center"/>
    </xf>
    <xf numFmtId="4" fontId="9" fillId="9" borderId="0" xfId="0" applyNumberFormat="1" applyFont="1" applyFill="1" applyBorder="1" applyAlignment="1">
      <alignment vertical="center"/>
    </xf>
    <xf numFmtId="4" fontId="9" fillId="9" borderId="0" xfId="45" applyNumberFormat="1" applyFont="1" applyFill="1" applyBorder="1" applyAlignment="1">
      <alignment vertical="center"/>
    </xf>
    <xf numFmtId="0" fontId="0" fillId="9" borderId="0" xfId="0" applyFill="1"/>
    <xf numFmtId="0" fontId="13" fillId="9" borderId="0" xfId="0" applyFont="1" applyFill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" fontId="7" fillId="5" borderId="16" xfId="0" applyNumberFormat="1" applyFont="1" applyFill="1" applyBorder="1" applyAlignment="1">
      <alignment horizontal="center" vertical="center" wrapText="1"/>
    </xf>
    <xf numFmtId="0" fontId="7" fillId="10" borderId="31" xfId="0" applyFont="1" applyFill="1" applyBorder="1" applyAlignment="1">
      <alignment horizontal="center" vertical="center"/>
    </xf>
    <xf numFmtId="4" fontId="7" fillId="10" borderId="15" xfId="0" applyNumberFormat="1" applyFont="1" applyFill="1" applyBorder="1" applyAlignment="1">
      <alignment horizontal="center" vertical="center"/>
    </xf>
    <xf numFmtId="0" fontId="7" fillId="0" borderId="33" xfId="25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49" fontId="9" fillId="5" borderId="33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2" fontId="0" fillId="5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0" fillId="5" borderId="16" xfId="0" applyNumberFormat="1" applyFill="1" applyBorder="1" applyAlignment="1">
      <alignment horizontal="right"/>
    </xf>
    <xf numFmtId="165" fontId="8" fillId="12" borderId="28" xfId="52" applyFont="1" applyFill="1" applyBorder="1" applyAlignment="1">
      <alignment horizontal="right" vertical="center"/>
    </xf>
    <xf numFmtId="4" fontId="8" fillId="12" borderId="29" xfId="8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169" fontId="0" fillId="0" borderId="7" xfId="44" applyNumberFormat="1" applyFont="1" applyBorder="1" applyAlignment="1">
      <alignment horizontal="center" vertical="center"/>
    </xf>
    <xf numFmtId="165" fontId="0" fillId="0" borderId="7" xfId="44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0" fillId="5" borderId="5" xfId="0" applyNumberFormat="1" applyFill="1" applyBorder="1" applyAlignment="1">
      <alignment horizontal="right"/>
    </xf>
    <xf numFmtId="169" fontId="0" fillId="0" borderId="1" xfId="44" applyNumberFormat="1" applyFont="1" applyBorder="1" applyAlignment="1">
      <alignment horizontal="center" vertical="center"/>
    </xf>
    <xf numFmtId="165" fontId="0" fillId="0" borderId="1" xfId="44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9" fillId="8" borderId="0" xfId="0" applyFont="1" applyFill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wrapText="1"/>
    </xf>
    <xf numFmtId="2" fontId="0" fillId="0" borderId="1" xfId="0" applyNumberFormat="1" applyBorder="1"/>
    <xf numFmtId="0" fontId="16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9" fillId="5" borderId="1" xfId="0" applyNumberFormat="1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166" fontId="0" fillId="5" borderId="17" xfId="0" applyNumberFormat="1" applyFill="1" applyBorder="1" applyAlignment="1">
      <alignment horizontal="center" vertical="center" wrapText="1"/>
    </xf>
    <xf numFmtId="4" fontId="9" fillId="5" borderId="17" xfId="0" applyNumberFormat="1" applyFont="1" applyFill="1" applyBorder="1" applyAlignment="1">
      <alignment horizontal="center" vertical="center"/>
    </xf>
    <xf numFmtId="4" fontId="9" fillId="5" borderId="12" xfId="0" applyNumberFormat="1" applyFont="1" applyFill="1" applyBorder="1" applyAlignment="1">
      <alignment horizontal="center" vertical="center"/>
    </xf>
    <xf numFmtId="4" fontId="9" fillId="5" borderId="9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4" fontId="7" fillId="5" borderId="1" xfId="0" applyNumberFormat="1" applyFont="1" applyFill="1" applyBorder="1" applyAlignment="1">
      <alignment vertical="center"/>
    </xf>
    <xf numFmtId="4" fontId="9" fillId="5" borderId="5" xfId="0" applyNumberFormat="1" applyFont="1" applyFill="1" applyBorder="1" applyAlignment="1">
      <alignment horizontal="right" vertical="center" wrapText="1"/>
    </xf>
    <xf numFmtId="0" fontId="7" fillId="0" borderId="34" xfId="25" applyFont="1" applyFill="1" applyBorder="1" applyAlignment="1">
      <alignment horizontal="center" vertical="center" wrapText="1"/>
    </xf>
    <xf numFmtId="0" fontId="7" fillId="10" borderId="36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1" xfId="0" applyFill="1" applyBorder="1"/>
    <xf numFmtId="0" fontId="0" fillId="0" borderId="13" xfId="0" applyBorder="1"/>
    <xf numFmtId="0" fontId="0" fillId="0" borderId="14" xfId="0" applyFill="1" applyBorder="1"/>
    <xf numFmtId="0" fontId="0" fillId="0" borderId="14" xfId="0" applyBorder="1"/>
    <xf numFmtId="0" fontId="0" fillId="0" borderId="27" xfId="0" applyBorder="1"/>
    <xf numFmtId="0" fontId="0" fillId="0" borderId="2" xfId="0" applyBorder="1"/>
    <xf numFmtId="0" fontId="0" fillId="0" borderId="19" xfId="0" applyBorder="1"/>
    <xf numFmtId="0" fontId="9" fillId="0" borderId="25" xfId="0" applyFont="1" applyBorder="1"/>
    <xf numFmtId="0" fontId="9" fillId="0" borderId="21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27" xfId="0" applyFont="1" applyBorder="1"/>
    <xf numFmtId="0" fontId="9" fillId="0" borderId="19" xfId="0" applyFont="1" applyBorder="1"/>
    <xf numFmtId="0" fontId="16" fillId="0" borderId="26" xfId="0" applyFont="1" applyBorder="1"/>
    <xf numFmtId="0" fontId="16" fillId="0" borderId="0" xfId="0" applyFont="1" applyBorder="1"/>
    <xf numFmtId="0" fontId="18" fillId="0" borderId="0" xfId="0" applyFont="1" applyBorder="1"/>
    <xf numFmtId="10" fontId="16" fillId="0" borderId="0" xfId="34" applyNumberFormat="1" applyFont="1" applyBorder="1"/>
    <xf numFmtId="0" fontId="0" fillId="5" borderId="0" xfId="0" applyFill="1"/>
    <xf numFmtId="0" fontId="12" fillId="0" borderId="0" xfId="0" applyFont="1" applyBorder="1" applyAlignment="1"/>
    <xf numFmtId="0" fontId="16" fillId="0" borderId="25" xfId="0" applyFont="1" applyBorder="1"/>
    <xf numFmtId="0" fontId="16" fillId="0" borderId="27" xfId="0" applyFont="1" applyBorder="1"/>
    <xf numFmtId="0" fontId="7" fillId="0" borderId="0" xfId="0" applyFont="1" applyBorder="1"/>
    <xf numFmtId="0" fontId="16" fillId="0" borderId="21" xfId="0" applyFont="1" applyBorder="1"/>
    <xf numFmtId="0" fontId="16" fillId="0" borderId="37" xfId="0" applyFont="1" applyBorder="1"/>
    <xf numFmtId="0" fontId="12" fillId="0" borderId="29" xfId="0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165" fontId="18" fillId="0" borderId="21" xfId="50" applyFont="1" applyBorder="1" applyAlignment="1">
      <alignment horizontal="center"/>
    </xf>
    <xf numFmtId="0" fontId="16" fillId="0" borderId="19" xfId="0" applyFont="1" applyBorder="1"/>
    <xf numFmtId="9" fontId="18" fillId="0" borderId="38" xfId="34" applyNumberFormat="1" applyFont="1" applyBorder="1" applyAlignment="1">
      <alignment horizontal="center"/>
    </xf>
    <xf numFmtId="0" fontId="16" fillId="0" borderId="39" xfId="0" applyFont="1" applyBorder="1"/>
    <xf numFmtId="0" fontId="26" fillId="0" borderId="13" xfId="0" applyFont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7" fillId="5" borderId="20" xfId="0" quotePrefix="1" applyFont="1" applyFill="1" applyBorder="1" applyAlignment="1">
      <alignment horizontal="center" vertical="center" wrapText="1"/>
    </xf>
    <xf numFmtId="0" fontId="7" fillId="5" borderId="18" xfId="0" quotePrefix="1" applyFont="1" applyFill="1" applyBorder="1" applyAlignment="1">
      <alignment horizontal="center" vertical="center" wrapText="1"/>
    </xf>
    <xf numFmtId="0" fontId="0" fillId="5" borderId="1" xfId="0" applyNumberForma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vertical="center" wrapText="1"/>
    </xf>
    <xf numFmtId="10" fontId="9" fillId="7" borderId="1" xfId="0" applyNumberFormat="1" applyFont="1" applyFill="1" applyBorder="1" applyAlignment="1">
      <alignment horizontal="right" vertical="center"/>
    </xf>
    <xf numFmtId="4" fontId="9" fillId="7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10" fontId="9" fillId="13" borderId="0" xfId="0" applyNumberFormat="1" applyFont="1" applyFill="1" applyBorder="1" applyAlignment="1">
      <alignment horizontal="right" vertical="center"/>
    </xf>
    <xf numFmtId="4" fontId="9" fillId="13" borderId="0" xfId="0" applyNumberFormat="1" applyFont="1" applyFill="1" applyBorder="1" applyAlignment="1">
      <alignment vertical="center"/>
    </xf>
    <xf numFmtId="4" fontId="9" fillId="13" borderId="0" xfId="45" applyNumberFormat="1" applyFont="1" applyFill="1" applyBorder="1" applyAlignment="1">
      <alignment vertical="center"/>
    </xf>
    <xf numFmtId="0" fontId="0" fillId="13" borderId="0" xfId="0" applyFill="1"/>
    <xf numFmtId="0" fontId="13" fillId="13" borderId="0" xfId="0" applyFont="1" applyFill="1"/>
    <xf numFmtId="10" fontId="9" fillId="5" borderId="0" xfId="0" applyNumberFormat="1" applyFont="1" applyFill="1" applyBorder="1" applyAlignment="1">
      <alignment horizontal="right" vertical="center"/>
    </xf>
    <xf numFmtId="4" fontId="9" fillId="5" borderId="0" xfId="0" applyNumberFormat="1" applyFont="1" applyFill="1" applyBorder="1" applyAlignment="1">
      <alignment vertical="center"/>
    </xf>
    <xf numFmtId="4" fontId="7" fillId="5" borderId="5" xfId="0" applyNumberFormat="1" applyFont="1" applyFill="1" applyBorder="1" applyAlignment="1">
      <alignment vertical="center"/>
    </xf>
    <xf numFmtId="4" fontId="7" fillId="5" borderId="36" xfId="0" applyNumberFormat="1" applyFont="1" applyFill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vertical="center"/>
    </xf>
    <xf numFmtId="0" fontId="30" fillId="0" borderId="0" xfId="0" applyFont="1" applyAlignment="1">
      <alignment wrapText="1"/>
    </xf>
    <xf numFmtId="0" fontId="5" fillId="5" borderId="1" xfId="0" applyFont="1" applyFill="1" applyBorder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left" wrapText="1"/>
    </xf>
    <xf numFmtId="169" fontId="0" fillId="0" borderId="7" xfId="44" applyNumberFormat="1" applyFont="1" applyFill="1" applyBorder="1"/>
    <xf numFmtId="165" fontId="0" fillId="0" borderId="7" xfId="44" applyFont="1" applyFill="1" applyBorder="1"/>
    <xf numFmtId="165" fontId="0" fillId="0" borderId="43" xfId="44" applyFont="1" applyBorder="1"/>
    <xf numFmtId="0" fontId="5" fillId="0" borderId="3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wrapText="1"/>
    </xf>
    <xf numFmtId="169" fontId="0" fillId="0" borderId="1" xfId="44" applyNumberFormat="1" applyFont="1" applyFill="1" applyBorder="1"/>
    <xf numFmtId="165" fontId="0" fillId="0" borderId="1" xfId="44" applyFont="1" applyBorder="1"/>
    <xf numFmtId="0" fontId="0" fillId="0" borderId="1" xfId="0" applyFill="1" applyBorder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0" fontId="5" fillId="0" borderId="1" xfId="0" applyFont="1" applyFill="1" applyBorder="1" applyAlignment="1">
      <alignment horizontal="left"/>
    </xf>
    <xf numFmtId="49" fontId="5" fillId="5" borderId="33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49" fontId="5" fillId="5" borderId="44" xfId="0" applyNumberFormat="1" applyFont="1" applyFill="1" applyBorder="1" applyAlignment="1">
      <alignment horizontal="center"/>
    </xf>
    <xf numFmtId="0" fontId="0" fillId="0" borderId="45" xfId="0" applyFill="1" applyBorder="1" applyAlignment="1">
      <alignment horizontal="left"/>
    </xf>
    <xf numFmtId="0" fontId="5" fillId="5" borderId="45" xfId="0" applyFont="1" applyFill="1" applyBorder="1" applyAlignment="1">
      <alignment horizontal="center"/>
    </xf>
    <xf numFmtId="2" fontId="0" fillId="5" borderId="45" xfId="0" applyNumberFormat="1" applyFill="1" applyBorder="1" applyAlignment="1">
      <alignment horizontal="right"/>
    </xf>
    <xf numFmtId="4" fontId="0" fillId="5" borderId="45" xfId="0" applyNumberFormat="1" applyFill="1" applyBorder="1" applyAlignment="1">
      <alignment horizontal="right"/>
    </xf>
    <xf numFmtId="4" fontId="0" fillId="5" borderId="46" xfId="0" applyNumberFormat="1" applyFill="1" applyBorder="1" applyAlignment="1">
      <alignment horizontal="right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168" fontId="9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quotePrefix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9" fillId="0" borderId="10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168" fontId="9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5" fillId="5" borderId="10" xfId="0" applyFont="1" applyFill="1" applyBorder="1" applyAlignment="1">
      <alignment horizontal="left" wrapText="1"/>
    </xf>
    <xf numFmtId="0" fontId="9" fillId="5" borderId="20" xfId="0" applyFont="1" applyFill="1" applyBorder="1" applyAlignment="1">
      <alignment horizontal="left" wrapText="1"/>
    </xf>
    <xf numFmtId="0" fontId="9" fillId="5" borderId="18" xfId="0" applyFont="1" applyFill="1" applyBorder="1" applyAlignment="1">
      <alignment horizontal="left" wrapText="1"/>
    </xf>
    <xf numFmtId="0" fontId="22" fillId="8" borderId="0" xfId="24" applyFont="1" applyFill="1" applyBorder="1"/>
    <xf numFmtId="0" fontId="7" fillId="5" borderId="20" xfId="0" quotePrefix="1" applyFont="1" applyFill="1" applyBorder="1" applyAlignment="1">
      <alignment horizontal="center" vertical="center" wrapText="1"/>
    </xf>
    <xf numFmtId="0" fontId="7" fillId="5" borderId="18" xfId="0" quotePrefix="1" applyFont="1" applyFill="1" applyBorder="1" applyAlignment="1">
      <alignment horizontal="center" vertical="center" wrapText="1"/>
    </xf>
    <xf numFmtId="10" fontId="7" fillId="0" borderId="10" xfId="0" applyNumberFormat="1" applyFont="1" applyFill="1" applyBorder="1" applyAlignment="1">
      <alignment horizontal="right" vertical="center"/>
    </xf>
    <xf numFmtId="10" fontId="7" fillId="0" borderId="18" xfId="0" applyNumberFormat="1" applyFont="1" applyFill="1" applyBorder="1" applyAlignment="1">
      <alignment horizontal="right" vertical="center"/>
    </xf>
    <xf numFmtId="0" fontId="7" fillId="5" borderId="10" xfId="0" applyFont="1" applyFill="1" applyBorder="1" applyAlignment="1">
      <alignment horizontal="right" vertical="center" wrapText="1"/>
    </xf>
    <xf numFmtId="0" fontId="7" fillId="5" borderId="20" xfId="0" applyFont="1" applyFill="1" applyBorder="1" applyAlignment="1">
      <alignment horizontal="right" vertical="center" wrapText="1"/>
    </xf>
    <xf numFmtId="10" fontId="7" fillId="5" borderId="10" xfId="0" applyNumberFormat="1" applyFont="1" applyFill="1" applyBorder="1" applyAlignment="1">
      <alignment horizontal="right" vertical="center"/>
    </xf>
    <xf numFmtId="10" fontId="7" fillId="5" borderId="18" xfId="0" applyNumberFormat="1" applyFont="1" applyFill="1" applyBorder="1" applyAlignment="1">
      <alignment horizontal="right" vertical="center"/>
    </xf>
    <xf numFmtId="0" fontId="9" fillId="0" borderId="20" xfId="0" applyNumberFormat="1" applyFont="1" applyFill="1" applyBorder="1" applyAlignment="1">
      <alignment horizontal="center" vertical="center"/>
    </xf>
    <xf numFmtId="0" fontId="9" fillId="0" borderId="18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right" vertical="center" wrapText="1"/>
    </xf>
    <xf numFmtId="0" fontId="7" fillId="0" borderId="20" xfId="0" applyFont="1" applyFill="1" applyBorder="1" applyAlignment="1">
      <alignment horizontal="right" vertical="center" wrapText="1"/>
    </xf>
    <xf numFmtId="0" fontId="0" fillId="0" borderId="20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10" fontId="16" fillId="8" borderId="0" xfId="0" applyNumberFormat="1" applyFont="1" applyFill="1" applyBorder="1" applyAlignment="1">
      <alignment horizontal="center" vertical="center"/>
    </xf>
    <xf numFmtId="10" fontId="7" fillId="0" borderId="0" xfId="44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right" vertical="center" wrapText="1"/>
    </xf>
    <xf numFmtId="0" fontId="12" fillId="5" borderId="24" xfId="0" applyFont="1" applyFill="1" applyBorder="1" applyAlignment="1">
      <alignment horizontal="right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2" fillId="0" borderId="0" xfId="24" applyFont="1" applyBorder="1"/>
    <xf numFmtId="0" fontId="7" fillId="5" borderId="18" xfId="0" applyFont="1" applyFill="1" applyBorder="1" applyAlignment="1">
      <alignment horizontal="right" vertical="center" wrapText="1"/>
    </xf>
    <xf numFmtId="14" fontId="12" fillId="7" borderId="0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4" fontId="12" fillId="7" borderId="0" xfId="0" applyNumberFormat="1" applyFont="1" applyFill="1" applyBorder="1" applyAlignment="1">
      <alignment horizontal="center" vertical="center" wrapText="1"/>
    </xf>
    <xf numFmtId="10" fontId="16" fillId="7" borderId="6" xfId="0" applyNumberFormat="1" applyFont="1" applyFill="1" applyBorder="1" applyAlignment="1">
      <alignment horizontal="center" vertical="center"/>
    </xf>
    <xf numFmtId="10" fontId="16" fillId="7" borderId="0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14" xfId="0" applyFont="1" applyBorder="1" applyAlignment="1">
      <alignment horizontal="right" vertical="center" wrapText="1"/>
    </xf>
    <xf numFmtId="168" fontId="12" fillId="5" borderId="1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1" xfId="0" applyBorder="1" applyAlignment="1">
      <alignment wrapText="1"/>
    </xf>
    <xf numFmtId="0" fontId="9" fillId="0" borderId="20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4" fontId="12" fillId="5" borderId="12" xfId="0" applyNumberFormat="1" applyFont="1" applyFill="1" applyBorder="1" applyAlignment="1">
      <alignment horizontal="center" vertical="center" wrapText="1"/>
    </xf>
    <xf numFmtId="4" fontId="12" fillId="5" borderId="17" xfId="0" applyNumberFormat="1" applyFont="1" applyFill="1" applyBorder="1" applyAlignment="1">
      <alignment horizontal="center" vertical="center" wrapText="1"/>
    </xf>
    <xf numFmtId="4" fontId="12" fillId="5" borderId="9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right" vertical="center" wrapText="1"/>
    </xf>
    <xf numFmtId="0" fontId="7" fillId="5" borderId="17" xfId="0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right" vertical="center" wrapText="1"/>
    </xf>
    <xf numFmtId="10" fontId="7" fillId="5" borderId="12" xfId="0" applyNumberFormat="1" applyFont="1" applyFill="1" applyBorder="1" applyAlignment="1">
      <alignment horizontal="right" vertical="center"/>
    </xf>
    <xf numFmtId="10" fontId="7" fillId="5" borderId="9" xfId="0" applyNumberFormat="1" applyFont="1" applyFill="1" applyBorder="1" applyAlignment="1">
      <alignment horizontal="right" vertical="center"/>
    </xf>
    <xf numFmtId="0" fontId="12" fillId="5" borderId="12" xfId="0" applyFont="1" applyFill="1" applyBorder="1" applyAlignment="1">
      <alignment horizontal="right"/>
    </xf>
    <xf numFmtId="0" fontId="12" fillId="5" borderId="17" xfId="0" applyFont="1" applyFill="1" applyBorder="1" applyAlignment="1">
      <alignment horizontal="right"/>
    </xf>
    <xf numFmtId="0" fontId="12" fillId="5" borderId="35" xfId="0" applyFont="1" applyFill="1" applyBorder="1" applyAlignment="1">
      <alignment horizontal="right"/>
    </xf>
    <xf numFmtId="0" fontId="7" fillId="5" borderId="10" xfId="0" quotePrefix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left" vertical="center"/>
    </xf>
    <xf numFmtId="0" fontId="9" fillId="5" borderId="18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165" fontId="16" fillId="5" borderId="1" xfId="34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10" fontId="16" fillId="0" borderId="1" xfId="34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65" fontId="16" fillId="0" borderId="1" xfId="34" applyNumberFormat="1" applyFont="1" applyFill="1" applyBorder="1" applyAlignment="1">
      <alignment horizontal="center" vertical="center"/>
    </xf>
    <xf numFmtId="4" fontId="17" fillId="0" borderId="27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7" fillId="0" borderId="28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10" fontId="16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21" fillId="0" borderId="13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4" xfId="0" applyBorder="1" applyAlignment="1">
      <alignment wrapText="1"/>
    </xf>
    <xf numFmtId="4" fontId="8" fillId="0" borderId="13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10" fontId="16" fillId="0" borderId="5" xfId="34" applyNumberFormat="1" applyFont="1" applyBorder="1" applyAlignment="1">
      <alignment horizontal="center" vertical="center"/>
    </xf>
    <xf numFmtId="165" fontId="16" fillId="5" borderId="5" xfId="34" applyNumberFormat="1" applyFont="1" applyFill="1" applyBorder="1" applyAlignment="1">
      <alignment horizontal="center" vertical="center"/>
    </xf>
    <xf numFmtId="0" fontId="25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10" fontId="16" fillId="0" borderId="5" xfId="34" applyNumberFormat="1" applyFont="1" applyFill="1" applyBorder="1" applyAlignment="1">
      <alignment horizontal="center"/>
    </xf>
    <xf numFmtId="10" fontId="16" fillId="0" borderId="4" xfId="34" applyNumberFormat="1" applyFont="1" applyFill="1" applyBorder="1" applyAlignment="1">
      <alignment horizontal="center"/>
    </xf>
    <xf numFmtId="10" fontId="16" fillId="0" borderId="7" xfId="34" applyNumberFormat="1" applyFont="1" applyFill="1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165" fontId="16" fillId="0" borderId="5" xfId="34" applyNumberFormat="1" applyFont="1" applyFill="1" applyBorder="1" applyAlignment="1">
      <alignment horizontal="center" vertical="center"/>
    </xf>
    <xf numFmtId="165" fontId="16" fillId="0" borderId="4" xfId="34" applyNumberFormat="1" applyFont="1" applyFill="1" applyBorder="1" applyAlignment="1">
      <alignment horizontal="center" vertical="center"/>
    </xf>
    <xf numFmtId="165" fontId="16" fillId="0" borderId="7" xfId="34" applyNumberFormat="1" applyFont="1" applyFill="1" applyBorder="1" applyAlignment="1">
      <alignment horizontal="center" vertical="center"/>
    </xf>
    <xf numFmtId="165" fontId="16" fillId="0" borderId="5" xfId="50" applyFont="1" applyFill="1" applyBorder="1" applyAlignment="1">
      <alignment horizontal="center"/>
    </xf>
    <xf numFmtId="165" fontId="16" fillId="0" borderId="4" xfId="50" applyFont="1" applyFill="1" applyBorder="1" applyAlignment="1">
      <alignment horizontal="center"/>
    </xf>
    <xf numFmtId="165" fontId="16" fillId="0" borderId="7" xfId="50" applyFont="1" applyFill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0" fontId="16" fillId="0" borderId="4" xfId="34" applyNumberFormat="1" applyFont="1" applyBorder="1" applyAlignment="1">
      <alignment horizontal="center" vertical="center"/>
    </xf>
    <xf numFmtId="10" fontId="16" fillId="0" borderId="22" xfId="34" applyNumberFormat="1" applyFont="1" applyBorder="1" applyAlignment="1">
      <alignment horizontal="center" vertical="center"/>
    </xf>
    <xf numFmtId="165" fontId="16" fillId="0" borderId="22" xfId="34" applyNumberFormat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10" borderId="41" xfId="0" applyFont="1" applyFill="1" applyBorder="1" applyAlignment="1">
      <alignment horizontal="left" vertical="center" wrapText="1"/>
    </xf>
    <xf numFmtId="0" fontId="7" fillId="10" borderId="42" xfId="0" applyFont="1" applyFill="1" applyBorder="1" applyAlignment="1">
      <alignment horizontal="left" vertical="center" wrapText="1"/>
    </xf>
    <xf numFmtId="0" fontId="7" fillId="10" borderId="30" xfId="0" applyFont="1" applyFill="1" applyBorder="1" applyAlignment="1">
      <alignment horizontal="left" vertical="center" wrapText="1"/>
    </xf>
    <xf numFmtId="0" fontId="7" fillId="11" borderId="33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7" fillId="11" borderId="16" xfId="0" applyFont="1" applyFill="1" applyBorder="1" applyAlignment="1">
      <alignment horizontal="center"/>
    </xf>
    <xf numFmtId="49" fontId="1" fillId="0" borderId="26" xfId="32" applyNumberFormat="1" applyFont="1" applyBorder="1" applyAlignment="1">
      <alignment horizontal="left" wrapText="1"/>
    </xf>
    <xf numFmtId="49" fontId="1" fillId="0" borderId="21" xfId="32" applyNumberFormat="1" applyFont="1" applyBorder="1" applyAlignment="1">
      <alignment horizontal="left" wrapText="1"/>
    </xf>
    <xf numFmtId="0" fontId="31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49" fontId="4" fillId="0" borderId="26" xfId="32" applyNumberFormat="1" applyFont="1" applyBorder="1" applyAlignment="1">
      <alignment horizontal="left" wrapText="1"/>
    </xf>
    <xf numFmtId="49" fontId="4" fillId="0" borderId="21" xfId="32" applyNumberFormat="1" applyFont="1" applyBorder="1" applyAlignment="1">
      <alignment horizontal="left" wrapText="1"/>
    </xf>
    <xf numFmtId="0" fontId="7" fillId="10" borderId="32" xfId="0" applyFont="1" applyFill="1" applyBorder="1" applyAlignment="1">
      <alignment horizontal="left" vertical="center" wrapText="1"/>
    </xf>
    <xf numFmtId="49" fontId="2" fillId="0" borderId="26" xfId="32" applyNumberFormat="1" applyFont="1" applyBorder="1" applyAlignment="1">
      <alignment horizontal="left" wrapText="1"/>
    </xf>
    <xf numFmtId="49" fontId="3" fillId="0" borderId="26" xfId="32" applyNumberFormat="1" applyFont="1" applyBorder="1" applyAlignment="1">
      <alignment horizontal="left" wrapText="1"/>
    </xf>
    <xf numFmtId="49" fontId="3" fillId="0" borderId="21" xfId="32" applyNumberFormat="1" applyFont="1" applyBorder="1" applyAlignment="1">
      <alignment horizontal="left" wrapText="1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19" xfId="0" applyFont="1" applyBorder="1" applyAlignment="1">
      <alignment horizontal="center"/>
    </xf>
  </cellXfs>
  <cellStyles count="64">
    <cellStyle name="Cancel" xfId="1"/>
    <cellStyle name="Cancel 2" xfId="2"/>
    <cellStyle name="Excel Built-in Normal" xfId="3"/>
    <cellStyle name="Hiperlink 2" xfId="4"/>
    <cellStyle name="Hiperlink 3" xfId="5"/>
    <cellStyle name="Moeda 2" xfId="6"/>
    <cellStyle name="Moeda 2 2" xfId="7"/>
    <cellStyle name="Moeda 2 2 2" xfId="8"/>
    <cellStyle name="Moeda 2 3" xfId="9"/>
    <cellStyle name="Moeda 3" xfId="10"/>
    <cellStyle name="Moeda 3 2" xfId="11"/>
    <cellStyle name="Moeda 3 2 2" xfId="12"/>
    <cellStyle name="Moeda 3 2 3" xfId="13"/>
    <cellStyle name="Moeda 3 3" xfId="14"/>
    <cellStyle name="Moeda 4" xfId="15"/>
    <cellStyle name="Moeda 4 2" xfId="16"/>
    <cellStyle name="Moeda 5" xfId="17"/>
    <cellStyle name="Moeda 6" xfId="18"/>
    <cellStyle name="Moeda 7" xfId="19"/>
    <cellStyle name="Moeda 8" xfId="20"/>
    <cellStyle name="Normal" xfId="0" builtinId="0"/>
    <cellStyle name="Normal 2" xfId="21"/>
    <cellStyle name="Normal 2 2" xfId="22"/>
    <cellStyle name="Normal 2 2 2" xfId="23"/>
    <cellStyle name="Normal 2 2 2 2" xfId="24"/>
    <cellStyle name="Normal 2 2 3" xfId="25"/>
    <cellStyle name="Normal 2 3" xfId="26"/>
    <cellStyle name="Normal 2 4" xfId="27"/>
    <cellStyle name="Normal 2 5" xfId="28"/>
    <cellStyle name="Normal 3" xfId="29"/>
    <cellStyle name="Normal 3 2" xfId="30"/>
    <cellStyle name="Normal 4" xfId="31"/>
    <cellStyle name="Normal 5" xfId="32"/>
    <cellStyle name="Normal 6" xfId="33"/>
    <cellStyle name="Porcentagem 2" xfId="34"/>
    <cellStyle name="Porcentagem 2 2" xfId="35"/>
    <cellStyle name="Porcentagem 2 3" xfId="36"/>
    <cellStyle name="Porcentagem 2 4" xfId="37"/>
    <cellStyle name="Porcentagem 3" xfId="38"/>
    <cellStyle name="Porcentagem 3 2" xfId="39"/>
    <cellStyle name="Porcentagem 3 2 2" xfId="40"/>
    <cellStyle name="Porcentagem 3 3" xfId="41"/>
    <cellStyle name="Porcentagem 4" xfId="42"/>
    <cellStyle name="Porcentagem 5" xfId="43"/>
    <cellStyle name="Separador de milhares" xfId="44" builtinId="3"/>
    <cellStyle name="Separador de milhares 2" xfId="45"/>
    <cellStyle name="Separador de milhares 2 2" xfId="46"/>
    <cellStyle name="Separador de milhares 2 3" xfId="47"/>
    <cellStyle name="Separador de milhares 2 4" xfId="48"/>
    <cellStyle name="Separador de milhares 3" xfId="49"/>
    <cellStyle name="Vírgula 2" xfId="50"/>
    <cellStyle name="Vírgula 2 2" xfId="51"/>
    <cellStyle name="Vírgula 2 2 2" xfId="52"/>
    <cellStyle name="Vírgula 2 3" xfId="53"/>
    <cellStyle name="Vírgula 3" xfId="54"/>
    <cellStyle name="Vírgula 3 2" xfId="55"/>
    <cellStyle name="Vírgula 3 2 2" xfId="56"/>
    <cellStyle name="Vírgula 3 3" xfId="57"/>
    <cellStyle name="Vírgula 4" xfId="58"/>
    <cellStyle name="Vírgula 4 2" xfId="59"/>
    <cellStyle name="Vírgula 4 2 2" xfId="60"/>
    <cellStyle name="Vírgula 4 3" xfId="61"/>
    <cellStyle name="Vírgula 5" xfId="62"/>
    <cellStyle name="Vírgula 6" xfId="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2</xdr:row>
      <xdr:rowOff>152400</xdr:rowOff>
    </xdr:from>
    <xdr:to>
      <xdr:col>2</xdr:col>
      <xdr:colOff>799576</xdr:colOff>
      <xdr:row>7</xdr:row>
      <xdr:rowOff>142875</xdr:rowOff>
    </xdr:to>
    <xdr:pic>
      <xdr:nvPicPr>
        <xdr:cNvPr id="24641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8601" y="285750"/>
          <a:ext cx="12948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50800" dir="5400000" algn="ctr" rotWithShape="0">
            <a:srgbClr val="000000"/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219075</xdr:rowOff>
    </xdr:from>
    <xdr:to>
      <xdr:col>2</xdr:col>
      <xdr:colOff>558275</xdr:colOff>
      <xdr:row>5</xdr:row>
      <xdr:rowOff>198967</xdr:rowOff>
    </xdr:to>
    <xdr:pic>
      <xdr:nvPicPr>
        <xdr:cNvPr id="4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57175" y="266700"/>
          <a:ext cx="1301225" cy="121814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50800" dir="5400000" algn="ctr" rotWithShape="0">
            <a:srgbClr val="000000"/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22</xdr:row>
      <xdr:rowOff>0</xdr:rowOff>
    </xdr:from>
    <xdr:to>
      <xdr:col>3</xdr:col>
      <xdr:colOff>152400</xdr:colOff>
      <xdr:row>22</xdr:row>
      <xdr:rowOff>152400</xdr:rowOff>
    </xdr:to>
    <xdr:sp macro="" textlink="">
      <xdr:nvSpPr>
        <xdr:cNvPr id="2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23348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152400</xdr:colOff>
      <xdr:row>22</xdr:row>
      <xdr:rowOff>152400</xdr:rowOff>
    </xdr:to>
    <xdr:sp macro="" textlink="">
      <xdr:nvSpPr>
        <xdr:cNvPr id="3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41827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152400</xdr:colOff>
      <xdr:row>28</xdr:row>
      <xdr:rowOff>152400</xdr:rowOff>
    </xdr:to>
    <xdr:sp macro="" textlink="">
      <xdr:nvSpPr>
        <xdr:cNvPr id="4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318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152400</xdr:colOff>
      <xdr:row>37</xdr:row>
      <xdr:rowOff>152400</xdr:rowOff>
    </xdr:to>
    <xdr:sp macro="" textlink="">
      <xdr:nvSpPr>
        <xdr:cNvPr id="5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50317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4"/>
  <sheetViews>
    <sheetView tabSelected="1" view="pageBreakPreview" topLeftCell="A145" zoomScale="90" zoomScaleSheetLayoutView="90" workbookViewId="0">
      <selection activeCell="M149" sqref="M149"/>
    </sheetView>
  </sheetViews>
  <sheetFormatPr defaultRowHeight="12.75"/>
  <cols>
    <col min="1" max="1" width="3.5703125" customWidth="1"/>
    <col min="2" max="2" width="7.28515625" customWidth="1"/>
    <col min="3" max="3" width="68.28515625" customWidth="1"/>
    <col min="4" max="4" width="5" style="3" customWidth="1"/>
    <col min="5" max="5" width="12.85546875" style="4" customWidth="1"/>
    <col min="6" max="6" width="9.140625" style="4" bestFit="1" customWidth="1"/>
    <col min="7" max="7" width="10" style="5" customWidth="1"/>
    <col min="8" max="8" width="10.85546875" customWidth="1"/>
    <col min="9" max="9" width="11" bestFit="1" customWidth="1"/>
    <col min="10" max="10" width="8.28515625" hidden="1" customWidth="1"/>
    <col min="11" max="11" width="12.140625" hidden="1" customWidth="1"/>
    <col min="12" max="12" width="12.140625" customWidth="1"/>
    <col min="13" max="13" width="12.5703125" customWidth="1"/>
    <col min="14" max="14" width="10.140625" style="8" bestFit="1" customWidth="1"/>
    <col min="15" max="15" width="11.5703125" bestFit="1" customWidth="1"/>
  </cols>
  <sheetData>
    <row r="1" spans="2:17" ht="5.25" customHeight="1" thickBot="1"/>
    <row r="2" spans="2:17" s="1" customFormat="1" ht="5.25" customHeight="1">
      <c r="B2" s="347"/>
      <c r="C2" s="348"/>
      <c r="D2" s="348"/>
      <c r="E2" s="348"/>
      <c r="F2" s="348"/>
      <c r="G2" s="348"/>
      <c r="H2" s="348"/>
      <c r="I2" s="349"/>
      <c r="J2" s="109"/>
      <c r="K2" s="109"/>
      <c r="L2" s="63"/>
      <c r="N2" s="6"/>
    </row>
    <row r="3" spans="2:17" s="1" customFormat="1" ht="20.25" customHeight="1">
      <c r="B3" s="339" t="s">
        <v>84</v>
      </c>
      <c r="C3" s="340"/>
      <c r="D3" s="340"/>
      <c r="E3" s="340"/>
      <c r="F3" s="340"/>
      <c r="G3" s="340"/>
      <c r="H3" s="340"/>
      <c r="I3" s="341"/>
      <c r="J3" s="106"/>
      <c r="K3" s="106"/>
      <c r="L3" s="91"/>
      <c r="N3" s="6"/>
    </row>
    <row r="4" spans="2:17" s="1" customFormat="1" ht="2.25" customHeight="1">
      <c r="B4" s="205"/>
      <c r="C4" s="106"/>
      <c r="D4" s="106"/>
      <c r="E4" s="106"/>
      <c r="F4" s="106"/>
      <c r="G4" s="106"/>
      <c r="H4" s="106"/>
      <c r="I4" s="206"/>
      <c r="J4" s="106"/>
      <c r="K4" s="106"/>
      <c r="L4" s="91"/>
      <c r="N4" s="6"/>
    </row>
    <row r="5" spans="2:17" s="1" customFormat="1" ht="15" customHeight="1">
      <c r="B5" s="342" t="s">
        <v>344</v>
      </c>
      <c r="C5" s="343"/>
      <c r="D5" s="343"/>
      <c r="E5" s="343"/>
      <c r="F5" s="343"/>
      <c r="G5" s="343"/>
      <c r="H5" s="343"/>
      <c r="I5" s="365"/>
      <c r="J5" s="107"/>
      <c r="K5" s="107"/>
      <c r="L5" s="91"/>
      <c r="N5" s="6"/>
    </row>
    <row r="6" spans="2:17" s="1" customFormat="1" ht="42" customHeight="1">
      <c r="B6" s="342" t="s">
        <v>345</v>
      </c>
      <c r="C6" s="343"/>
      <c r="D6" s="343"/>
      <c r="E6" s="343"/>
      <c r="F6" s="343"/>
      <c r="G6" s="343"/>
      <c r="H6" s="343"/>
      <c r="I6" s="365"/>
      <c r="J6" s="108"/>
      <c r="K6" s="108"/>
      <c r="L6" s="9"/>
      <c r="N6" s="6"/>
    </row>
    <row r="7" spans="2:17" s="1" customFormat="1" ht="17.25" customHeight="1">
      <c r="B7" s="342" t="s">
        <v>123</v>
      </c>
      <c r="C7" s="343"/>
      <c r="D7" s="343"/>
      <c r="E7" s="343"/>
      <c r="F7" s="343"/>
      <c r="G7" s="343"/>
      <c r="H7" s="344" t="s">
        <v>83</v>
      </c>
      <c r="I7" s="345"/>
      <c r="J7" s="317" t="s">
        <v>83</v>
      </c>
      <c r="K7" s="317"/>
      <c r="L7" s="91"/>
      <c r="N7" s="6"/>
    </row>
    <row r="8" spans="2:17" s="1" customFormat="1" ht="12.75" customHeight="1">
      <c r="B8" s="321" t="s">
        <v>93</v>
      </c>
      <c r="C8" s="322"/>
      <c r="D8" s="322"/>
      <c r="E8" s="322"/>
      <c r="F8" s="322"/>
      <c r="G8" s="322"/>
      <c r="H8" s="322"/>
      <c r="I8" s="323"/>
      <c r="J8" s="317" t="s">
        <v>83</v>
      </c>
      <c r="K8" s="317"/>
      <c r="L8" s="91"/>
      <c r="N8" s="6"/>
    </row>
    <row r="9" spans="2:17" s="1" customFormat="1" ht="5.25" customHeight="1" thickBot="1">
      <c r="B9" s="318"/>
      <c r="C9" s="319"/>
      <c r="D9" s="319"/>
      <c r="E9" s="319"/>
      <c r="F9" s="319"/>
      <c r="G9" s="319"/>
      <c r="H9" s="319"/>
      <c r="I9" s="320"/>
      <c r="J9" s="90"/>
      <c r="K9" s="62"/>
      <c r="L9" s="62"/>
      <c r="N9" s="6"/>
    </row>
    <row r="10" spans="2:17" s="1" customFormat="1" ht="15" customHeight="1">
      <c r="B10" s="325" t="s">
        <v>255</v>
      </c>
      <c r="C10" s="326"/>
      <c r="D10" s="326"/>
      <c r="E10" s="326"/>
      <c r="F10" s="326"/>
      <c r="G10" s="326"/>
      <c r="H10" s="327" t="s">
        <v>346</v>
      </c>
      <c r="I10" s="328"/>
      <c r="J10" s="324" t="s">
        <v>50</v>
      </c>
      <c r="K10" s="324"/>
      <c r="L10" s="64"/>
      <c r="N10" s="6"/>
    </row>
    <row r="11" spans="2:17" s="1" customFormat="1" ht="1.5" customHeight="1">
      <c r="B11" s="352"/>
      <c r="C11" s="353"/>
      <c r="D11" s="353"/>
      <c r="E11" s="353"/>
      <c r="F11" s="353"/>
      <c r="G11" s="354"/>
      <c r="H11" s="354"/>
      <c r="I11" s="355"/>
      <c r="J11" s="91"/>
      <c r="K11" s="91"/>
      <c r="L11" s="91"/>
      <c r="N11" s="6"/>
    </row>
    <row r="12" spans="2:17" s="1" customFormat="1" ht="15">
      <c r="B12" s="356" t="s">
        <v>0</v>
      </c>
      <c r="C12" s="335" t="s">
        <v>1</v>
      </c>
      <c r="D12" s="335" t="s">
        <v>2</v>
      </c>
      <c r="E12" s="329" t="s">
        <v>51</v>
      </c>
      <c r="F12" s="346" t="s">
        <v>34</v>
      </c>
      <c r="G12" s="359" t="s">
        <v>33</v>
      </c>
      <c r="H12" s="360"/>
      <c r="I12" s="361"/>
      <c r="J12" s="334">
        <v>42933</v>
      </c>
      <c r="K12" s="334"/>
      <c r="L12" s="65"/>
      <c r="N12" s="6"/>
    </row>
    <row r="13" spans="2:17" s="1" customFormat="1" ht="15" customHeight="1">
      <c r="B13" s="357"/>
      <c r="C13" s="335"/>
      <c r="D13" s="335"/>
      <c r="E13" s="330"/>
      <c r="F13" s="346"/>
      <c r="G13" s="362"/>
      <c r="H13" s="363"/>
      <c r="I13" s="364"/>
      <c r="J13" s="336" t="s">
        <v>46</v>
      </c>
      <c r="K13" s="336"/>
      <c r="L13" s="66"/>
      <c r="N13" s="6"/>
    </row>
    <row r="14" spans="2:17" s="2" customFormat="1" ht="12.75" customHeight="1">
      <c r="B14" s="358"/>
      <c r="C14" s="335"/>
      <c r="D14" s="335"/>
      <c r="E14" s="331"/>
      <c r="F14" s="346"/>
      <c r="G14" s="61" t="s">
        <v>3</v>
      </c>
      <c r="H14" s="61" t="s">
        <v>30</v>
      </c>
      <c r="I14" s="61" t="s">
        <v>31</v>
      </c>
      <c r="J14" s="110" t="s">
        <v>8</v>
      </c>
      <c r="K14" s="111" t="s">
        <v>47</v>
      </c>
      <c r="L14" s="67"/>
      <c r="M14" s="7"/>
      <c r="N14" s="7"/>
    </row>
    <row r="15" spans="2:17" s="1" customFormat="1" ht="15.75" customHeight="1">
      <c r="B15" s="166"/>
      <c r="C15" s="21"/>
      <c r="D15" s="20"/>
      <c r="E15" s="18"/>
      <c r="F15" s="22"/>
      <c r="G15" s="17"/>
      <c r="H15" s="23">
        <v>0.27629999999999999</v>
      </c>
      <c r="I15" s="23"/>
      <c r="J15" s="337" t="s">
        <v>48</v>
      </c>
      <c r="K15" s="338"/>
      <c r="L15" s="68"/>
      <c r="N15" s="332"/>
      <c r="O15" s="332"/>
      <c r="P15" s="332"/>
      <c r="Q15" s="82"/>
    </row>
    <row r="16" spans="2:17" s="2" customFormat="1" ht="30.75" hidden="1" customHeight="1">
      <c r="B16" s="167" t="s">
        <v>98</v>
      </c>
      <c r="C16" s="80" t="s">
        <v>92</v>
      </c>
      <c r="D16" s="211" t="s">
        <v>73</v>
      </c>
      <c r="E16" s="210" t="s">
        <v>65</v>
      </c>
      <c r="F16" s="77">
        <v>0</v>
      </c>
      <c r="G16" s="78">
        <v>5213.68</v>
      </c>
      <c r="H16" s="79">
        <f>TRUNC(G16*$H$15+G16,2)</f>
        <v>6654.21</v>
      </c>
      <c r="I16" s="79">
        <f>TRUNC(H16*F16,2)</f>
        <v>0</v>
      </c>
      <c r="J16" s="112">
        <v>0</v>
      </c>
      <c r="K16" s="113" t="e">
        <f>(J16*#REF!)</f>
        <v>#REF!</v>
      </c>
      <c r="L16" s="69"/>
      <c r="N16" s="332"/>
      <c r="O16" s="332"/>
      <c r="P16" s="332"/>
      <c r="Q16" s="82"/>
    </row>
    <row r="17" spans="2:17" s="2" customFormat="1" ht="15.75" hidden="1" customHeight="1">
      <c r="B17" s="306" t="s">
        <v>6</v>
      </c>
      <c r="C17" s="307"/>
      <c r="D17" s="307"/>
      <c r="E17" s="307"/>
      <c r="F17" s="333"/>
      <c r="G17" s="308">
        <f>(100%)</f>
        <v>1</v>
      </c>
      <c r="H17" s="309"/>
      <c r="I17" s="168">
        <f>SUM(I16)</f>
        <v>0</v>
      </c>
      <c r="J17" s="114" t="e">
        <f>(K17/#REF!)</f>
        <v>#REF!</v>
      </c>
      <c r="K17" s="115" t="e">
        <f>SUM(K15:K16)</f>
        <v>#REF!</v>
      </c>
      <c r="L17" s="70"/>
      <c r="N17" s="7"/>
    </row>
    <row r="18" spans="2:17" s="93" customFormat="1" ht="15.75" customHeight="1">
      <c r="B18" s="166">
        <v>1</v>
      </c>
      <c r="C18" s="21" t="s">
        <v>4</v>
      </c>
      <c r="D18" s="20"/>
      <c r="E18" s="18"/>
      <c r="F18" s="22"/>
      <c r="G18" s="17"/>
      <c r="H18" s="23"/>
      <c r="I18" s="23"/>
      <c r="J18" s="316" t="s">
        <v>48</v>
      </c>
      <c r="K18" s="316"/>
      <c r="L18" s="92"/>
      <c r="N18" s="301"/>
      <c r="O18" s="301"/>
      <c r="P18" s="301"/>
      <c r="Q18" s="94"/>
    </row>
    <row r="19" spans="2:17" s="96" customFormat="1" ht="18" customHeight="1">
      <c r="B19" s="267" t="s">
        <v>98</v>
      </c>
      <c r="C19" s="268" t="s">
        <v>28</v>
      </c>
      <c r="D19" s="269" t="s">
        <v>53</v>
      </c>
      <c r="E19" s="270" t="s">
        <v>63</v>
      </c>
      <c r="F19" s="271">
        <v>2.5</v>
      </c>
      <c r="G19" s="241">
        <v>316.88</v>
      </c>
      <c r="H19" s="240">
        <f>TRUNC(G19*(1+$H$15),2)</f>
        <v>404.43</v>
      </c>
      <c r="I19" s="240">
        <f>TRUNC(H19*F19,2)</f>
        <v>1011.07</v>
      </c>
      <c r="J19" s="116">
        <v>0</v>
      </c>
      <c r="K19" s="117" t="e">
        <f>(J19*#REF!)</f>
        <v>#REF!</v>
      </c>
      <c r="L19" s="95"/>
      <c r="N19" s="301"/>
      <c r="O19" s="301"/>
      <c r="P19" s="301"/>
      <c r="Q19" s="97"/>
    </row>
    <row r="20" spans="2:17" s="96" customFormat="1" ht="34.5" customHeight="1">
      <c r="B20" s="267" t="s">
        <v>220</v>
      </c>
      <c r="C20" s="268" t="s">
        <v>64</v>
      </c>
      <c r="D20" s="269" t="s">
        <v>53</v>
      </c>
      <c r="E20" s="272">
        <v>93584</v>
      </c>
      <c r="F20" s="271">
        <v>6</v>
      </c>
      <c r="G20" s="241">
        <v>455.67</v>
      </c>
      <c r="H20" s="240">
        <f>TRUNC(G20*(1+$H$15),2)</f>
        <v>581.57000000000005</v>
      </c>
      <c r="I20" s="240">
        <f>TRUNC(H20*F20,2)</f>
        <v>3489.42</v>
      </c>
      <c r="J20" s="116">
        <v>1</v>
      </c>
      <c r="K20" s="117" t="e">
        <f>(J20*#REF!)</f>
        <v>#REF!</v>
      </c>
      <c r="L20" s="95"/>
      <c r="N20" s="98"/>
    </row>
    <row r="21" spans="2:17" s="96" customFormat="1" ht="34.5" customHeight="1">
      <c r="B21" s="267" t="s">
        <v>303</v>
      </c>
      <c r="C21" s="296" t="s">
        <v>348</v>
      </c>
      <c r="D21" s="244" t="s">
        <v>55</v>
      </c>
      <c r="E21" s="272">
        <v>97621</v>
      </c>
      <c r="F21" s="271">
        <v>3.15</v>
      </c>
      <c r="G21" s="241">
        <v>75.739999999999995</v>
      </c>
      <c r="H21" s="240">
        <f>TRUNC(G21*(1+$H$15),2)</f>
        <v>96.66</v>
      </c>
      <c r="I21" s="240">
        <f>TRUNC(H21*F21,2)</f>
        <v>304.47000000000003</v>
      </c>
      <c r="J21" s="116"/>
      <c r="K21" s="117"/>
      <c r="L21" s="95"/>
      <c r="N21" s="98"/>
    </row>
    <row r="22" spans="2:17" s="2" customFormat="1" ht="15.75" customHeight="1">
      <c r="B22" s="312" t="s">
        <v>6</v>
      </c>
      <c r="C22" s="313"/>
      <c r="D22" s="313"/>
      <c r="E22" s="313"/>
      <c r="F22" s="313"/>
      <c r="G22" s="304">
        <f>(100%)</f>
        <v>1</v>
      </c>
      <c r="H22" s="305"/>
      <c r="I22" s="273">
        <f>SUM(I19:I21)</f>
        <v>4804.96</v>
      </c>
      <c r="J22" s="114" t="e">
        <f>(K22/#REF!)</f>
        <v>#REF!</v>
      </c>
      <c r="K22" s="115" t="e">
        <f>SUM(K19:K20)</f>
        <v>#REF!</v>
      </c>
      <c r="L22" s="70"/>
      <c r="N22" s="7"/>
    </row>
    <row r="23" spans="2:17" s="96" customFormat="1" ht="18.75" customHeight="1">
      <c r="B23" s="274">
        <v>2</v>
      </c>
      <c r="C23" s="275" t="s">
        <v>5</v>
      </c>
      <c r="D23" s="350"/>
      <c r="E23" s="350"/>
      <c r="F23" s="350"/>
      <c r="G23" s="350"/>
      <c r="H23" s="350"/>
      <c r="I23" s="351"/>
      <c r="J23" s="95"/>
      <c r="K23" s="95"/>
      <c r="L23" s="99"/>
      <c r="N23" s="98"/>
    </row>
    <row r="24" spans="2:17" s="96" customFormat="1" ht="34.5" customHeight="1">
      <c r="B24" s="267" t="s">
        <v>99</v>
      </c>
      <c r="C24" s="276" t="s">
        <v>120</v>
      </c>
      <c r="D24" s="269" t="s">
        <v>55</v>
      </c>
      <c r="E24" s="277">
        <v>93358</v>
      </c>
      <c r="F24" s="271">
        <v>17.260000000000002</v>
      </c>
      <c r="G24" s="241">
        <v>56.13</v>
      </c>
      <c r="H24" s="240">
        <f>TRUNC(G24*(1+$H$15),2)</f>
        <v>71.63</v>
      </c>
      <c r="I24" s="240">
        <f>TRUNC(H24*F24,2)</f>
        <v>1236.33</v>
      </c>
      <c r="J24" s="116">
        <v>0</v>
      </c>
      <c r="K24" s="117" t="e">
        <f>(J24*#REF!)</f>
        <v>#REF!</v>
      </c>
      <c r="L24" s="95"/>
      <c r="N24" s="98"/>
    </row>
    <row r="25" spans="2:17" s="96" customFormat="1" ht="29.25" customHeight="1">
      <c r="B25" s="267" t="s">
        <v>100</v>
      </c>
      <c r="C25" s="276" t="s">
        <v>95</v>
      </c>
      <c r="D25" s="269" t="s">
        <v>55</v>
      </c>
      <c r="E25" s="278">
        <v>96995</v>
      </c>
      <c r="F25" s="271">
        <f>F24-3.65-1.23</f>
        <v>12.38</v>
      </c>
      <c r="G25" s="241">
        <v>34.03</v>
      </c>
      <c r="H25" s="240">
        <f t="shared" ref="H25:H26" si="0">TRUNC(G25*(1+$H$15),2)</f>
        <v>43.43</v>
      </c>
      <c r="I25" s="240">
        <f t="shared" ref="I25:I26" si="1">TRUNC(H25*F25,2)</f>
        <v>537.66</v>
      </c>
      <c r="J25" s="116">
        <v>0</v>
      </c>
      <c r="K25" s="117" t="e">
        <f>(J25*#REF!)</f>
        <v>#REF!</v>
      </c>
      <c r="L25" s="95"/>
      <c r="N25" s="98"/>
    </row>
    <row r="26" spans="2:17" s="96" customFormat="1" ht="30" customHeight="1">
      <c r="B26" s="267" t="s">
        <v>221</v>
      </c>
      <c r="C26" s="276" t="s">
        <v>177</v>
      </c>
      <c r="D26" s="269" t="s">
        <v>53</v>
      </c>
      <c r="E26" s="277">
        <v>94097</v>
      </c>
      <c r="F26" s="271">
        <v>12.33</v>
      </c>
      <c r="G26" s="241">
        <v>4.1100000000000003</v>
      </c>
      <c r="H26" s="240">
        <f t="shared" si="0"/>
        <v>5.24</v>
      </c>
      <c r="I26" s="240">
        <f t="shared" si="1"/>
        <v>64.599999999999994</v>
      </c>
      <c r="J26" s="116">
        <v>0</v>
      </c>
      <c r="K26" s="117" t="e">
        <f>(J26*#REF!)</f>
        <v>#REF!</v>
      </c>
      <c r="L26" s="95"/>
      <c r="N26" s="98"/>
    </row>
    <row r="27" spans="2:17" s="2" customFormat="1" ht="15.75" customHeight="1">
      <c r="B27" s="312" t="s">
        <v>6</v>
      </c>
      <c r="C27" s="313"/>
      <c r="D27" s="313"/>
      <c r="E27" s="313"/>
      <c r="F27" s="313"/>
      <c r="G27" s="304">
        <f>(100%)</f>
        <v>1</v>
      </c>
      <c r="H27" s="305"/>
      <c r="I27" s="273">
        <f>SUM(I24:I26)</f>
        <v>1838.5899999999997</v>
      </c>
      <c r="J27" s="114">
        <v>0</v>
      </c>
      <c r="K27" s="115" t="e">
        <f>SUM(K23:K26)</f>
        <v>#REF!</v>
      </c>
      <c r="L27" s="70"/>
      <c r="N27" s="7"/>
    </row>
    <row r="28" spans="2:17" s="96" customFormat="1" ht="16.5" customHeight="1">
      <c r="B28" s="274">
        <v>3</v>
      </c>
      <c r="C28" s="279" t="s">
        <v>36</v>
      </c>
      <c r="D28" s="314"/>
      <c r="E28" s="314"/>
      <c r="F28" s="314"/>
      <c r="G28" s="314"/>
      <c r="H28" s="314"/>
      <c r="I28" s="315"/>
      <c r="J28" s="95"/>
      <c r="K28" s="95"/>
      <c r="L28" s="100"/>
      <c r="N28" s="98"/>
    </row>
    <row r="29" spans="2:17" s="96" customFormat="1" ht="42" customHeight="1">
      <c r="B29" s="267" t="s">
        <v>97</v>
      </c>
      <c r="C29" s="280" t="s">
        <v>61</v>
      </c>
      <c r="D29" s="269" t="s">
        <v>55</v>
      </c>
      <c r="E29" s="277">
        <v>94962</v>
      </c>
      <c r="F29" s="271">
        <v>0.62</v>
      </c>
      <c r="G29" s="241">
        <v>256.33999999999997</v>
      </c>
      <c r="H29" s="240">
        <f t="shared" ref="H29:H36" si="2">TRUNC(G29*(1+$H$15),2)</f>
        <v>327.16000000000003</v>
      </c>
      <c r="I29" s="240">
        <f t="shared" ref="I29:I36" si="3">TRUNC(H29*F29,2)</f>
        <v>202.83</v>
      </c>
      <c r="J29" s="116">
        <v>0</v>
      </c>
      <c r="K29" s="117" t="e">
        <f>(J29*#REF!)</f>
        <v>#REF!</v>
      </c>
      <c r="L29" s="95"/>
      <c r="N29" s="98"/>
    </row>
    <row r="30" spans="2:17" s="96" customFormat="1" ht="30" customHeight="1">
      <c r="B30" s="267" t="s">
        <v>101</v>
      </c>
      <c r="C30" s="276" t="s">
        <v>66</v>
      </c>
      <c r="D30" s="269" t="s">
        <v>55</v>
      </c>
      <c r="E30" s="277">
        <v>94965</v>
      </c>
      <c r="F30" s="271">
        <f>3.65+4.12</f>
        <v>7.77</v>
      </c>
      <c r="G30" s="241">
        <v>323.94</v>
      </c>
      <c r="H30" s="240">
        <f t="shared" si="2"/>
        <v>413.44</v>
      </c>
      <c r="I30" s="240">
        <f t="shared" si="3"/>
        <v>3212.42</v>
      </c>
      <c r="J30" s="116">
        <v>0</v>
      </c>
      <c r="K30" s="117" t="e">
        <f>(J30*#REF!)</f>
        <v>#REF!</v>
      </c>
      <c r="L30" s="95"/>
      <c r="N30" s="98"/>
    </row>
    <row r="31" spans="2:17" s="93" customFormat="1" ht="33.75" customHeight="1">
      <c r="B31" s="267" t="s">
        <v>210</v>
      </c>
      <c r="C31" s="276" t="s">
        <v>170</v>
      </c>
      <c r="D31" s="269" t="s">
        <v>55</v>
      </c>
      <c r="E31" s="277" t="s">
        <v>169</v>
      </c>
      <c r="F31" s="271">
        <f>F30</f>
        <v>7.77</v>
      </c>
      <c r="G31" s="241">
        <v>93.02</v>
      </c>
      <c r="H31" s="240">
        <f t="shared" si="2"/>
        <v>118.72</v>
      </c>
      <c r="I31" s="240">
        <f t="shared" si="3"/>
        <v>922.45</v>
      </c>
      <c r="J31" s="116">
        <v>0</v>
      </c>
      <c r="K31" s="117" t="e">
        <f>(J31*#REF!)</f>
        <v>#REF!</v>
      </c>
      <c r="L31" s="95"/>
      <c r="N31" s="101"/>
    </row>
    <row r="32" spans="2:17" s="93" customFormat="1" ht="54.75" customHeight="1">
      <c r="B32" s="267" t="s">
        <v>222</v>
      </c>
      <c r="C32" s="276" t="s">
        <v>60</v>
      </c>
      <c r="D32" s="269" t="s">
        <v>53</v>
      </c>
      <c r="E32" s="277">
        <v>92422</v>
      </c>
      <c r="F32" s="271">
        <f>14.16+64.5</f>
        <v>78.66</v>
      </c>
      <c r="G32" s="241">
        <v>47.37</v>
      </c>
      <c r="H32" s="240">
        <f t="shared" si="2"/>
        <v>60.45</v>
      </c>
      <c r="I32" s="240">
        <f t="shared" si="3"/>
        <v>4754.99</v>
      </c>
      <c r="J32" s="116">
        <v>0</v>
      </c>
      <c r="K32" s="117" t="e">
        <f>(J32*#REF!)</f>
        <v>#REF!</v>
      </c>
      <c r="L32" s="95"/>
      <c r="N32" s="101"/>
    </row>
    <row r="33" spans="2:14" s="93" customFormat="1" ht="36.75" customHeight="1">
      <c r="B33" s="267" t="s">
        <v>223</v>
      </c>
      <c r="C33" s="276" t="s">
        <v>72</v>
      </c>
      <c r="D33" s="269" t="s">
        <v>67</v>
      </c>
      <c r="E33" s="277">
        <v>96543</v>
      </c>
      <c r="F33" s="271">
        <v>84</v>
      </c>
      <c r="G33" s="241">
        <v>11</v>
      </c>
      <c r="H33" s="240">
        <f t="shared" si="2"/>
        <v>14.03</v>
      </c>
      <c r="I33" s="240">
        <f t="shared" si="3"/>
        <v>1178.52</v>
      </c>
      <c r="J33" s="116">
        <v>0</v>
      </c>
      <c r="K33" s="117" t="e">
        <f>(J33*#REF!)</f>
        <v>#REF!</v>
      </c>
      <c r="L33" s="95"/>
      <c r="N33" s="101"/>
    </row>
    <row r="34" spans="2:14" s="93" customFormat="1" ht="35.25" customHeight="1">
      <c r="B34" s="267" t="s">
        <v>224</v>
      </c>
      <c r="C34" s="276" t="s">
        <v>168</v>
      </c>
      <c r="D34" s="269" t="s">
        <v>67</v>
      </c>
      <c r="E34" s="277">
        <v>96544</v>
      </c>
      <c r="F34" s="271">
        <v>45</v>
      </c>
      <c r="G34" s="241">
        <v>9.5399999999999991</v>
      </c>
      <c r="H34" s="240">
        <f t="shared" si="2"/>
        <v>12.17</v>
      </c>
      <c r="I34" s="240">
        <f t="shared" si="3"/>
        <v>547.65</v>
      </c>
      <c r="J34" s="116">
        <v>0</v>
      </c>
      <c r="K34" s="117" t="e">
        <f>(J34*#REF!)</f>
        <v>#REF!</v>
      </c>
      <c r="L34" s="95"/>
      <c r="N34" s="101"/>
    </row>
    <row r="35" spans="2:14" s="93" customFormat="1" ht="48" customHeight="1">
      <c r="B35" s="267" t="s">
        <v>225</v>
      </c>
      <c r="C35" s="281" t="s">
        <v>258</v>
      </c>
      <c r="D35" s="269" t="s">
        <v>67</v>
      </c>
      <c r="E35" s="277">
        <v>96545</v>
      </c>
      <c r="F35" s="271">
        <v>123</v>
      </c>
      <c r="G35" s="241">
        <v>9.17</v>
      </c>
      <c r="H35" s="240">
        <f t="shared" si="2"/>
        <v>11.7</v>
      </c>
      <c r="I35" s="240">
        <f t="shared" si="3"/>
        <v>1439.1</v>
      </c>
      <c r="J35" s="116">
        <v>0</v>
      </c>
      <c r="K35" s="117" t="e">
        <f>(J35*#REF!)</f>
        <v>#REF!</v>
      </c>
      <c r="L35" s="95"/>
      <c r="N35" s="101"/>
    </row>
    <row r="36" spans="2:14" s="93" customFormat="1" ht="44.25" customHeight="1">
      <c r="B36" s="267" t="s">
        <v>226</v>
      </c>
      <c r="C36" s="276" t="s">
        <v>71</v>
      </c>
      <c r="D36" s="269" t="s">
        <v>67</v>
      </c>
      <c r="E36" s="277">
        <v>96546</v>
      </c>
      <c r="F36" s="271">
        <v>188</v>
      </c>
      <c r="G36" s="241">
        <v>7.49</v>
      </c>
      <c r="H36" s="240">
        <f t="shared" si="2"/>
        <v>9.5500000000000007</v>
      </c>
      <c r="I36" s="240">
        <f t="shared" si="3"/>
        <v>1795.4</v>
      </c>
      <c r="J36" s="116">
        <v>0</v>
      </c>
      <c r="K36" s="117" t="e">
        <f>(J36*#REF!)</f>
        <v>#REF!</v>
      </c>
      <c r="L36" s="95"/>
      <c r="N36" s="101"/>
    </row>
    <row r="37" spans="2:14" s="1" customFormat="1" ht="18.75" customHeight="1">
      <c r="B37" s="312" t="s">
        <v>6</v>
      </c>
      <c r="C37" s="313"/>
      <c r="D37" s="313"/>
      <c r="E37" s="313"/>
      <c r="F37" s="313"/>
      <c r="G37" s="304">
        <f>(100%)</f>
        <v>1</v>
      </c>
      <c r="H37" s="305"/>
      <c r="I37" s="273">
        <f>SUM(I29:I36)</f>
        <v>14053.359999999999</v>
      </c>
      <c r="J37" s="114" t="e">
        <f>(K37/#REF!)</f>
        <v>#REF!</v>
      </c>
      <c r="K37" s="115" t="e">
        <f>SUM(K30:K36)</f>
        <v>#REF!</v>
      </c>
      <c r="L37" s="70"/>
      <c r="N37" s="6"/>
    </row>
    <row r="38" spans="2:14" s="96" customFormat="1" ht="17.25" customHeight="1">
      <c r="B38" s="274">
        <v>4</v>
      </c>
      <c r="C38" s="279" t="s">
        <v>35</v>
      </c>
      <c r="D38" s="314"/>
      <c r="E38" s="314"/>
      <c r="F38" s="314"/>
      <c r="G38" s="314"/>
      <c r="H38" s="314"/>
      <c r="I38" s="315"/>
      <c r="J38" s="95"/>
      <c r="K38" s="95"/>
      <c r="L38" s="100"/>
      <c r="N38" s="98"/>
    </row>
    <row r="39" spans="2:14" s="93" customFormat="1" ht="33.75" customHeight="1">
      <c r="B39" s="267" t="s">
        <v>102</v>
      </c>
      <c r="C39" s="276" t="s">
        <v>62</v>
      </c>
      <c r="D39" s="269" t="s">
        <v>55</v>
      </c>
      <c r="E39" s="277">
        <v>94965</v>
      </c>
      <c r="F39" s="271">
        <f>3.21+1.35</f>
        <v>4.5600000000000005</v>
      </c>
      <c r="G39" s="241">
        <v>323.94</v>
      </c>
      <c r="H39" s="240">
        <f t="shared" ref="H39:H48" si="4">TRUNC(G39*(1+$H$15),2)</f>
        <v>413.44</v>
      </c>
      <c r="I39" s="240">
        <f t="shared" ref="I39:I46" si="5">TRUNC(H39*F39,2)</f>
        <v>1885.28</v>
      </c>
      <c r="J39" s="116">
        <v>0</v>
      </c>
      <c r="K39" s="117" t="e">
        <f>(J39*#REF!)</f>
        <v>#REF!</v>
      </c>
      <c r="L39" s="95"/>
      <c r="N39" s="101"/>
    </row>
    <row r="40" spans="2:14" s="93" customFormat="1" ht="33.75" customHeight="1">
      <c r="B40" s="267" t="s">
        <v>103</v>
      </c>
      <c r="C40" s="276" t="s">
        <v>170</v>
      </c>
      <c r="D40" s="269" t="s">
        <v>55</v>
      </c>
      <c r="E40" s="277" t="s">
        <v>169</v>
      </c>
      <c r="F40" s="271">
        <f>F39</f>
        <v>4.5600000000000005</v>
      </c>
      <c r="G40" s="241">
        <v>93.02</v>
      </c>
      <c r="H40" s="240">
        <f t="shared" si="4"/>
        <v>118.72</v>
      </c>
      <c r="I40" s="240">
        <f t="shared" si="5"/>
        <v>541.36</v>
      </c>
      <c r="J40" s="116">
        <v>0</v>
      </c>
      <c r="K40" s="117" t="e">
        <f>(J40*#REF!)</f>
        <v>#REF!</v>
      </c>
      <c r="L40" s="95"/>
      <c r="N40" s="101"/>
    </row>
    <row r="41" spans="2:14" s="93" customFormat="1" ht="54.75" customHeight="1">
      <c r="B41" s="267" t="s">
        <v>104</v>
      </c>
      <c r="C41" s="276" t="s">
        <v>60</v>
      </c>
      <c r="D41" s="269" t="s">
        <v>53</v>
      </c>
      <c r="E41" s="277">
        <v>92422</v>
      </c>
      <c r="F41" s="271">
        <f>59.92+26.18</f>
        <v>86.1</v>
      </c>
      <c r="G41" s="241">
        <v>47.37</v>
      </c>
      <c r="H41" s="240">
        <f t="shared" si="4"/>
        <v>60.45</v>
      </c>
      <c r="I41" s="240">
        <f t="shared" si="5"/>
        <v>5204.74</v>
      </c>
      <c r="J41" s="116">
        <v>0</v>
      </c>
      <c r="K41" s="117" t="e">
        <f>(J41*#REF!)</f>
        <v>#REF!</v>
      </c>
      <c r="L41" s="95"/>
      <c r="N41" s="101"/>
    </row>
    <row r="42" spans="2:14" s="93" customFormat="1" ht="47.25" customHeight="1">
      <c r="B42" s="267" t="s">
        <v>211</v>
      </c>
      <c r="C42" s="276" t="s">
        <v>68</v>
      </c>
      <c r="D42" s="269" t="s">
        <v>67</v>
      </c>
      <c r="E42" s="277">
        <v>92775</v>
      </c>
      <c r="F42" s="271">
        <v>191</v>
      </c>
      <c r="G42" s="241">
        <v>11.06</v>
      </c>
      <c r="H42" s="240">
        <f t="shared" si="4"/>
        <v>14.11</v>
      </c>
      <c r="I42" s="240">
        <f t="shared" si="5"/>
        <v>2695.01</v>
      </c>
      <c r="J42" s="116">
        <v>0</v>
      </c>
      <c r="K42" s="117" t="e">
        <f>(J42*#REF!)</f>
        <v>#REF!</v>
      </c>
      <c r="L42" s="95"/>
      <c r="N42" s="101"/>
    </row>
    <row r="43" spans="2:14" s="93" customFormat="1" ht="48" customHeight="1">
      <c r="B43" s="267" t="s">
        <v>212</v>
      </c>
      <c r="C43" s="281" t="s">
        <v>256</v>
      </c>
      <c r="D43" s="269" t="s">
        <v>67</v>
      </c>
      <c r="E43" s="277">
        <v>92776</v>
      </c>
      <c r="F43" s="271">
        <v>15</v>
      </c>
      <c r="G43" s="241">
        <v>9.57</v>
      </c>
      <c r="H43" s="240">
        <f t="shared" si="4"/>
        <v>12.21</v>
      </c>
      <c r="I43" s="240">
        <f t="shared" si="5"/>
        <v>183.15</v>
      </c>
      <c r="J43" s="116">
        <v>0</v>
      </c>
      <c r="K43" s="117" t="e">
        <f>(J43*#REF!)</f>
        <v>#REF!</v>
      </c>
      <c r="L43" s="95"/>
      <c r="N43" s="101"/>
    </row>
    <row r="44" spans="2:14" s="93" customFormat="1" ht="48" customHeight="1">
      <c r="B44" s="267" t="s">
        <v>213</v>
      </c>
      <c r="C44" s="276" t="s">
        <v>69</v>
      </c>
      <c r="D44" s="269" t="s">
        <v>67</v>
      </c>
      <c r="E44" s="277">
        <v>92777</v>
      </c>
      <c r="F44" s="271">
        <v>99</v>
      </c>
      <c r="G44" s="241">
        <v>9.17</v>
      </c>
      <c r="H44" s="240">
        <f t="shared" si="4"/>
        <v>11.7</v>
      </c>
      <c r="I44" s="240">
        <f t="shared" si="5"/>
        <v>1158.3</v>
      </c>
      <c r="J44" s="116"/>
      <c r="K44" s="117"/>
      <c r="L44" s="95"/>
      <c r="N44" s="101"/>
    </row>
    <row r="45" spans="2:14" s="93" customFormat="1" ht="48" customHeight="1">
      <c r="B45" s="267" t="s">
        <v>261</v>
      </c>
      <c r="C45" s="276" t="s">
        <v>70</v>
      </c>
      <c r="D45" s="269" t="s">
        <v>67</v>
      </c>
      <c r="E45" s="277">
        <v>92778</v>
      </c>
      <c r="F45" s="271">
        <v>92</v>
      </c>
      <c r="G45" s="241">
        <v>7.44</v>
      </c>
      <c r="H45" s="240">
        <f t="shared" si="4"/>
        <v>9.49</v>
      </c>
      <c r="I45" s="240">
        <f t="shared" si="5"/>
        <v>873.08</v>
      </c>
      <c r="J45" s="116"/>
      <c r="K45" s="117"/>
      <c r="L45" s="95"/>
      <c r="N45" s="101"/>
    </row>
    <row r="46" spans="2:14" s="93" customFormat="1" ht="55.5" customHeight="1">
      <c r="B46" s="267" t="s">
        <v>304</v>
      </c>
      <c r="C46" s="281" t="s">
        <v>257</v>
      </c>
      <c r="D46" s="269" t="s">
        <v>67</v>
      </c>
      <c r="E46" s="277">
        <v>92779</v>
      </c>
      <c r="F46" s="271">
        <v>23</v>
      </c>
      <c r="G46" s="241">
        <v>6.56</v>
      </c>
      <c r="H46" s="240">
        <f t="shared" si="4"/>
        <v>8.3699999999999992</v>
      </c>
      <c r="I46" s="240">
        <f t="shared" si="5"/>
        <v>192.51</v>
      </c>
      <c r="J46" s="116">
        <v>0</v>
      </c>
      <c r="K46" s="117" t="e">
        <f>(J46*#REF!)</f>
        <v>#REF!</v>
      </c>
      <c r="L46" s="95"/>
      <c r="N46" s="101"/>
    </row>
    <row r="47" spans="2:14" s="93" customFormat="1">
      <c r="B47" s="282"/>
      <c r="C47" s="283" t="s">
        <v>259</v>
      </c>
      <c r="D47" s="284"/>
      <c r="E47" s="284"/>
      <c r="F47" s="284"/>
      <c r="G47" s="284"/>
      <c r="H47" s="284"/>
      <c r="I47" s="285"/>
      <c r="J47" s="116"/>
      <c r="K47" s="117"/>
      <c r="L47" s="95"/>
      <c r="N47" s="101"/>
    </row>
    <row r="48" spans="2:14" s="93" customFormat="1" ht="55.5" customHeight="1">
      <c r="B48" s="242" t="s">
        <v>305</v>
      </c>
      <c r="C48" s="243" t="s">
        <v>260</v>
      </c>
      <c r="D48" s="244" t="s">
        <v>53</v>
      </c>
      <c r="E48" s="245" t="s">
        <v>298</v>
      </c>
      <c r="F48" s="271">
        <v>103.58</v>
      </c>
      <c r="G48" s="241">
        <v>103.39</v>
      </c>
      <c r="H48" s="240">
        <f t="shared" si="4"/>
        <v>131.94999999999999</v>
      </c>
      <c r="I48" s="240">
        <f t="shared" ref="I48" si="6">TRUNC(H48*F48,2)</f>
        <v>13667.38</v>
      </c>
      <c r="J48" s="116"/>
      <c r="K48" s="117"/>
      <c r="L48" s="95"/>
      <c r="N48" s="101"/>
    </row>
    <row r="49" spans="1:14" s="1" customFormat="1" ht="12.75" customHeight="1">
      <c r="B49" s="312" t="s">
        <v>6</v>
      </c>
      <c r="C49" s="313"/>
      <c r="D49" s="313"/>
      <c r="E49" s="313"/>
      <c r="F49" s="313"/>
      <c r="G49" s="304">
        <f>(100%)</f>
        <v>1</v>
      </c>
      <c r="H49" s="305"/>
      <c r="I49" s="273">
        <f>SUM(I39:I48)</f>
        <v>26400.809999999998</v>
      </c>
      <c r="J49" s="114" t="e">
        <f>(K49/#REF!)</f>
        <v>#REF!</v>
      </c>
      <c r="K49" s="115" t="e">
        <f>SUM(K39:K46)</f>
        <v>#REF!</v>
      </c>
      <c r="L49" s="70"/>
      <c r="N49" s="6"/>
    </row>
    <row r="50" spans="1:14" s="1" customFormat="1">
      <c r="B50" s="274">
        <v>5</v>
      </c>
      <c r="C50" s="286" t="s">
        <v>37</v>
      </c>
      <c r="D50" s="310"/>
      <c r="E50" s="310"/>
      <c r="F50" s="310"/>
      <c r="G50" s="310"/>
      <c r="H50" s="310"/>
      <c r="I50" s="311"/>
      <c r="J50" s="76"/>
      <c r="K50" s="76"/>
      <c r="L50" s="71"/>
      <c r="N50" s="6"/>
    </row>
    <row r="51" spans="1:14" s="96" customFormat="1" ht="45" customHeight="1">
      <c r="B51" s="267" t="s">
        <v>105</v>
      </c>
      <c r="C51" s="280" t="s">
        <v>96</v>
      </c>
      <c r="D51" s="269" t="s">
        <v>53</v>
      </c>
      <c r="E51" s="287" t="s">
        <v>57</v>
      </c>
      <c r="F51" s="288">
        <v>50.99</v>
      </c>
      <c r="G51" s="241">
        <v>9.32</v>
      </c>
      <c r="H51" s="240">
        <f t="shared" ref="H51" si="7">TRUNC(G51*(1+$H$15),2)</f>
        <v>11.89</v>
      </c>
      <c r="I51" s="240">
        <f t="shared" ref="I51" si="8">TRUNC(H51*F51,2)</f>
        <v>606.27</v>
      </c>
      <c r="J51" s="116">
        <v>0</v>
      </c>
      <c r="K51" s="117" t="e">
        <f>(J51*#REF!)</f>
        <v>#REF!</v>
      </c>
      <c r="L51" s="95"/>
      <c r="N51" s="98"/>
    </row>
    <row r="52" spans="1:14" s="1" customFormat="1" ht="12.75" customHeight="1">
      <c r="B52" s="306" t="s">
        <v>6</v>
      </c>
      <c r="C52" s="307"/>
      <c r="D52" s="307"/>
      <c r="E52" s="307"/>
      <c r="F52" s="307"/>
      <c r="G52" s="308">
        <f>(100%)</f>
        <v>1</v>
      </c>
      <c r="H52" s="309"/>
      <c r="I52" s="168">
        <f>SUM(I51:I51)</f>
        <v>606.27</v>
      </c>
      <c r="J52" s="114">
        <v>0</v>
      </c>
      <c r="K52" s="115" t="e">
        <f>SUM(K51)</f>
        <v>#REF!</v>
      </c>
      <c r="L52" s="70"/>
      <c r="N52" s="6"/>
    </row>
    <row r="53" spans="1:14" s="103" customFormat="1" ht="19.5" customHeight="1">
      <c r="B53" s="166">
        <v>6</v>
      </c>
      <c r="C53" s="21" t="s">
        <v>38</v>
      </c>
      <c r="D53" s="302"/>
      <c r="E53" s="302"/>
      <c r="F53" s="302"/>
      <c r="G53" s="302"/>
      <c r="H53" s="302"/>
      <c r="I53" s="303"/>
      <c r="J53" s="95"/>
      <c r="K53" s="95"/>
      <c r="L53" s="102"/>
      <c r="N53" s="104"/>
    </row>
    <row r="54" spans="1:14" s="103" customFormat="1" ht="76.5" customHeight="1">
      <c r="B54" s="289" t="s">
        <v>306</v>
      </c>
      <c r="C54" s="213" t="s">
        <v>184</v>
      </c>
      <c r="D54" s="19" t="s">
        <v>53</v>
      </c>
      <c r="E54" s="209">
        <v>87525</v>
      </c>
      <c r="F54" s="77">
        <f>162.79+95.65</f>
        <v>258.44</v>
      </c>
      <c r="G54" s="78">
        <v>95.71</v>
      </c>
      <c r="H54" s="240">
        <f t="shared" ref="H54:H56" si="9">TRUNC(G54*(1+$H$15),2)</f>
        <v>122.15</v>
      </c>
      <c r="I54" s="240">
        <f t="shared" ref="I54:I56" si="10">TRUNC(H54*F54,2)</f>
        <v>31568.44</v>
      </c>
      <c r="J54" s="116">
        <v>0</v>
      </c>
      <c r="K54" s="117" t="e">
        <f>(J54*#REF!)</f>
        <v>#REF!</v>
      </c>
      <c r="L54" s="95"/>
      <c r="N54" s="104"/>
    </row>
    <row r="55" spans="1:14" s="103" customFormat="1" ht="31.5" customHeight="1">
      <c r="B55" s="289" t="s">
        <v>227</v>
      </c>
      <c r="C55" s="75" t="s">
        <v>149</v>
      </c>
      <c r="D55" s="19" t="s">
        <v>52</v>
      </c>
      <c r="E55" s="209">
        <v>93186</v>
      </c>
      <c r="F55" s="77">
        <f>3.2+2.6</f>
        <v>5.8000000000000007</v>
      </c>
      <c r="G55" s="78">
        <v>33.99</v>
      </c>
      <c r="H55" s="240">
        <f t="shared" si="9"/>
        <v>43.38</v>
      </c>
      <c r="I55" s="240">
        <f t="shared" si="10"/>
        <v>251.6</v>
      </c>
      <c r="J55" s="116">
        <v>0</v>
      </c>
      <c r="K55" s="117" t="e">
        <f>(J55*#REF!)</f>
        <v>#REF!</v>
      </c>
      <c r="L55" s="95"/>
      <c r="N55" s="104"/>
    </row>
    <row r="56" spans="1:14" s="103" customFormat="1" ht="39.75" customHeight="1">
      <c r="B56" s="289" t="s">
        <v>228</v>
      </c>
      <c r="C56" s="75" t="s">
        <v>171</v>
      </c>
      <c r="D56" s="19" t="s">
        <v>52</v>
      </c>
      <c r="E56" s="209">
        <v>93188</v>
      </c>
      <c r="F56" s="77">
        <v>11.2</v>
      </c>
      <c r="G56" s="78">
        <v>33.770000000000003</v>
      </c>
      <c r="H56" s="240">
        <f t="shared" si="9"/>
        <v>43.1</v>
      </c>
      <c r="I56" s="240">
        <f t="shared" si="10"/>
        <v>482.72</v>
      </c>
      <c r="J56" s="116">
        <v>0</v>
      </c>
      <c r="K56" s="117" t="e">
        <f>(J56*#REF!)</f>
        <v>#REF!</v>
      </c>
      <c r="L56" s="95"/>
      <c r="N56" s="104"/>
    </row>
    <row r="57" spans="1:14" s="1" customFormat="1" ht="15" customHeight="1">
      <c r="B57" s="306" t="s">
        <v>6</v>
      </c>
      <c r="C57" s="307"/>
      <c r="D57" s="307"/>
      <c r="E57" s="307"/>
      <c r="F57" s="307"/>
      <c r="G57" s="308">
        <f>(100%)</f>
        <v>1</v>
      </c>
      <c r="H57" s="309"/>
      <c r="I57" s="168">
        <f>SUM(I54:I56)</f>
        <v>32302.76</v>
      </c>
      <c r="J57" s="114" t="e">
        <f>(K57/#REF!)</f>
        <v>#REF!</v>
      </c>
      <c r="K57" s="115" t="e">
        <f>SUM(K54:K55)</f>
        <v>#REF!</v>
      </c>
      <c r="L57" s="70"/>
      <c r="N57" s="6"/>
    </row>
    <row r="58" spans="1:14" s="103" customFormat="1" ht="19.5" customHeight="1">
      <c r="B58" s="166">
        <v>7</v>
      </c>
      <c r="C58" s="21" t="s">
        <v>39</v>
      </c>
      <c r="D58" s="302"/>
      <c r="E58" s="302"/>
      <c r="F58" s="302"/>
      <c r="G58" s="302"/>
      <c r="H58" s="302"/>
      <c r="I58" s="303"/>
      <c r="J58" s="95"/>
      <c r="K58" s="95"/>
      <c r="L58" s="102"/>
      <c r="N58" s="104"/>
    </row>
    <row r="59" spans="1:14" s="103" customFormat="1" ht="42.75" customHeight="1">
      <c r="B59" s="167" t="s">
        <v>106</v>
      </c>
      <c r="C59" s="213" t="s">
        <v>58</v>
      </c>
      <c r="D59" s="19" t="s">
        <v>53</v>
      </c>
      <c r="E59" s="209">
        <v>87905</v>
      </c>
      <c r="F59" s="77">
        <f>F54*2</f>
        <v>516.88</v>
      </c>
      <c r="G59" s="78">
        <v>5.84</v>
      </c>
      <c r="H59" s="240">
        <f t="shared" ref="H59:H62" si="11">TRUNC(G59*(1+$H$15),2)</f>
        <v>7.45</v>
      </c>
      <c r="I59" s="240">
        <f t="shared" ref="I59:I62" si="12">TRUNC(H59*F59,2)</f>
        <v>3850.75</v>
      </c>
      <c r="J59" s="116">
        <v>0</v>
      </c>
      <c r="K59" s="117" t="e">
        <f>(J59*#REF!)</f>
        <v>#REF!</v>
      </c>
      <c r="L59" s="95"/>
      <c r="N59" s="104"/>
    </row>
    <row r="60" spans="1:14" s="103" customFormat="1" ht="63.75">
      <c r="A60" s="192"/>
      <c r="B60" s="167" t="s">
        <v>214</v>
      </c>
      <c r="C60" s="75" t="s">
        <v>179</v>
      </c>
      <c r="D60" s="19" t="s">
        <v>53</v>
      </c>
      <c r="E60" s="209">
        <v>87535</v>
      </c>
      <c r="F60" s="77">
        <v>72.13</v>
      </c>
      <c r="G60" s="78">
        <v>20.39</v>
      </c>
      <c r="H60" s="240">
        <f t="shared" si="11"/>
        <v>26.02</v>
      </c>
      <c r="I60" s="240">
        <f t="shared" si="12"/>
        <v>1876.82</v>
      </c>
      <c r="J60" s="116">
        <v>0</v>
      </c>
      <c r="K60" s="117" t="e">
        <f>(J60*#REF!)</f>
        <v>#REF!</v>
      </c>
      <c r="L60" s="95"/>
      <c r="N60" s="104"/>
    </row>
    <row r="61" spans="1:14" s="103" customFormat="1" ht="51">
      <c r="A61" s="192"/>
      <c r="B61" s="167" t="s">
        <v>215</v>
      </c>
      <c r="C61" s="75" t="s">
        <v>178</v>
      </c>
      <c r="D61" s="19" t="s">
        <v>53</v>
      </c>
      <c r="E61" s="209">
        <v>87529</v>
      </c>
      <c r="F61" s="77">
        <f>F59-F60</f>
        <v>444.75</v>
      </c>
      <c r="G61" s="78">
        <v>23.76</v>
      </c>
      <c r="H61" s="240">
        <f t="shared" si="11"/>
        <v>30.32</v>
      </c>
      <c r="I61" s="240">
        <f t="shared" si="12"/>
        <v>13484.82</v>
      </c>
      <c r="J61" s="116">
        <v>0</v>
      </c>
      <c r="K61" s="117" t="e">
        <f>(J61*#REF!)</f>
        <v>#REF!</v>
      </c>
      <c r="L61" s="95"/>
      <c r="N61" s="104"/>
    </row>
    <row r="62" spans="1:14" s="103" customFormat="1" ht="57" customHeight="1">
      <c r="B62" s="167" t="s">
        <v>216</v>
      </c>
      <c r="C62" s="75" t="s">
        <v>147</v>
      </c>
      <c r="D62" s="211" t="s">
        <v>56</v>
      </c>
      <c r="E62" s="209">
        <v>87273</v>
      </c>
      <c r="F62" s="77">
        <f>F60</f>
        <v>72.13</v>
      </c>
      <c r="G62" s="78">
        <v>49.33</v>
      </c>
      <c r="H62" s="240">
        <f t="shared" si="11"/>
        <v>62.95</v>
      </c>
      <c r="I62" s="240">
        <f t="shared" si="12"/>
        <v>4540.58</v>
      </c>
      <c r="J62" s="116">
        <v>0</v>
      </c>
      <c r="K62" s="117" t="e">
        <f>(J62*#REF!)</f>
        <v>#REF!</v>
      </c>
      <c r="L62" s="95"/>
      <c r="N62" s="104"/>
    </row>
    <row r="63" spans="1:14" s="1" customFormat="1" ht="12.75" customHeight="1">
      <c r="B63" s="306" t="s">
        <v>6</v>
      </c>
      <c r="C63" s="307"/>
      <c r="D63" s="307"/>
      <c r="E63" s="307"/>
      <c r="F63" s="307"/>
      <c r="G63" s="308">
        <f>(100%)</f>
        <v>1</v>
      </c>
      <c r="H63" s="309"/>
      <c r="I63" s="168">
        <f>SUM(I59:I62)</f>
        <v>23752.97</v>
      </c>
      <c r="J63" s="118" t="e">
        <f>(K63/#REF!)</f>
        <v>#REF!</v>
      </c>
      <c r="K63" s="115" t="e">
        <f>SUM(K59:K62)</f>
        <v>#REF!</v>
      </c>
      <c r="L63" s="70"/>
      <c r="N63" s="6"/>
    </row>
    <row r="64" spans="1:14" s="103" customFormat="1">
      <c r="B64" s="166">
        <v>8</v>
      </c>
      <c r="C64" s="214" t="s">
        <v>40</v>
      </c>
      <c r="D64" s="302"/>
      <c r="E64" s="302"/>
      <c r="F64" s="302"/>
      <c r="G64" s="302"/>
      <c r="H64" s="302"/>
      <c r="I64" s="303"/>
      <c r="J64" s="95"/>
      <c r="K64" s="95"/>
      <c r="L64" s="102"/>
      <c r="N64" s="104"/>
    </row>
    <row r="65" spans="2:14" s="222" customFormat="1" ht="70.5" customHeight="1">
      <c r="B65" s="289" t="s">
        <v>107</v>
      </c>
      <c r="C65" s="75" t="s">
        <v>190</v>
      </c>
      <c r="D65" s="211" t="s">
        <v>53</v>
      </c>
      <c r="E65" s="217">
        <v>92543</v>
      </c>
      <c r="F65" s="77">
        <v>165.5</v>
      </c>
      <c r="G65" s="78">
        <v>9.86</v>
      </c>
      <c r="H65" s="240">
        <f t="shared" ref="H65:H68" si="13">TRUNC(G65*(1+$H$15),2)</f>
        <v>12.58</v>
      </c>
      <c r="I65" s="240">
        <f t="shared" ref="I65:I68" si="14">TRUNC(H65*F65,2)</f>
        <v>2081.9899999999998</v>
      </c>
      <c r="J65" s="219">
        <v>0</v>
      </c>
      <c r="K65" s="220" t="e">
        <f>(J65*#REF!)</f>
        <v>#REF!</v>
      </c>
      <c r="L65" s="221"/>
      <c r="N65" s="223"/>
    </row>
    <row r="66" spans="2:14" s="126" customFormat="1" ht="51">
      <c r="B66" s="289" t="s">
        <v>108</v>
      </c>
      <c r="C66" s="75" t="s">
        <v>180</v>
      </c>
      <c r="D66" s="211" t="s">
        <v>53</v>
      </c>
      <c r="E66" s="217">
        <v>94207</v>
      </c>
      <c r="F66" s="77">
        <v>165.5</v>
      </c>
      <c r="G66" s="78">
        <v>32.450000000000003</v>
      </c>
      <c r="H66" s="240">
        <f t="shared" si="13"/>
        <v>41.41</v>
      </c>
      <c r="I66" s="240">
        <f t="shared" si="14"/>
        <v>6853.35</v>
      </c>
      <c r="J66" s="123">
        <v>0</v>
      </c>
      <c r="K66" s="124" t="e">
        <f>(J66*#REF!)</f>
        <v>#REF!</v>
      </c>
      <c r="L66" s="125"/>
      <c r="N66" s="127"/>
    </row>
    <row r="67" spans="2:14" s="126" customFormat="1" ht="44.25" customHeight="1">
      <c r="B67" s="289" t="s">
        <v>109</v>
      </c>
      <c r="C67" s="281" t="s">
        <v>276</v>
      </c>
      <c r="D67" s="291" t="s">
        <v>53</v>
      </c>
      <c r="E67" s="292">
        <v>94213</v>
      </c>
      <c r="F67" s="271">
        <v>38.880000000000003</v>
      </c>
      <c r="G67" s="241">
        <v>40.57</v>
      </c>
      <c r="H67" s="240">
        <f t="shared" si="13"/>
        <v>51.77</v>
      </c>
      <c r="I67" s="240">
        <f t="shared" si="14"/>
        <v>2012.81</v>
      </c>
      <c r="J67" s="123"/>
      <c r="K67" s="124"/>
      <c r="L67" s="125"/>
      <c r="N67" s="127"/>
    </row>
    <row r="68" spans="2:14" s="126" customFormat="1" ht="43.5" customHeight="1">
      <c r="B68" s="289" t="s">
        <v>110</v>
      </c>
      <c r="C68" s="281" t="s">
        <v>277</v>
      </c>
      <c r="D68" s="293" t="s">
        <v>52</v>
      </c>
      <c r="E68" s="292">
        <v>75220</v>
      </c>
      <c r="F68" s="271">
        <v>9.6</v>
      </c>
      <c r="G68" s="241">
        <v>33.86</v>
      </c>
      <c r="H68" s="240">
        <f t="shared" si="13"/>
        <v>43.21</v>
      </c>
      <c r="I68" s="240">
        <f t="shared" si="14"/>
        <v>414.81</v>
      </c>
      <c r="J68" s="123"/>
      <c r="K68" s="124"/>
      <c r="L68" s="125"/>
      <c r="N68" s="127"/>
    </row>
    <row r="69" spans="2:14" s="1" customFormat="1" ht="12.75" customHeight="1">
      <c r="B69" s="306" t="s">
        <v>6</v>
      </c>
      <c r="C69" s="307"/>
      <c r="D69" s="307"/>
      <c r="E69" s="307"/>
      <c r="F69" s="307"/>
      <c r="G69" s="308">
        <f>(100%)</f>
        <v>1</v>
      </c>
      <c r="H69" s="309"/>
      <c r="I69" s="168">
        <f>SUM(I65:I68)</f>
        <v>11362.96</v>
      </c>
      <c r="J69" s="118" t="e">
        <f>(K69/#REF!)</f>
        <v>#REF!</v>
      </c>
      <c r="K69" s="115" t="e">
        <f>SUM(#REF!)</f>
        <v>#REF!</v>
      </c>
      <c r="L69" s="70"/>
      <c r="N69" s="6"/>
    </row>
    <row r="70" spans="2:14">
      <c r="B70" s="166">
        <v>9</v>
      </c>
      <c r="C70" s="214" t="s">
        <v>41</v>
      </c>
      <c r="D70" s="302"/>
      <c r="E70" s="302"/>
      <c r="F70" s="302"/>
      <c r="G70" s="302"/>
      <c r="H70" s="302"/>
      <c r="I70" s="303"/>
      <c r="J70" s="76"/>
      <c r="K70" s="76"/>
      <c r="L70" s="72"/>
    </row>
    <row r="71" spans="2:14" s="103" customFormat="1" ht="42" customHeight="1">
      <c r="B71" s="289" t="s">
        <v>307</v>
      </c>
      <c r="C71" s="239" t="s">
        <v>279</v>
      </c>
      <c r="D71" s="211" t="s">
        <v>56</v>
      </c>
      <c r="E71" s="209">
        <v>94585</v>
      </c>
      <c r="F71" s="77">
        <v>1.2</v>
      </c>
      <c r="G71" s="78">
        <v>486.77</v>
      </c>
      <c r="H71" s="240">
        <f t="shared" ref="H71:H72" si="15">TRUNC(G71*(1+$H$15),2)</f>
        <v>621.26</v>
      </c>
      <c r="I71" s="240">
        <f t="shared" ref="I71:I72" si="16">TRUNC(H71*F71,2)</f>
        <v>745.51</v>
      </c>
      <c r="J71" s="116">
        <v>0</v>
      </c>
      <c r="K71" s="117" t="e">
        <f>(J71*#REF!)</f>
        <v>#REF!</v>
      </c>
      <c r="L71" s="95"/>
      <c r="N71" s="104"/>
    </row>
    <row r="72" spans="2:14" s="103" customFormat="1" ht="41.25" customHeight="1">
      <c r="B72" s="289" t="s">
        <v>308</v>
      </c>
      <c r="C72" s="239" t="s">
        <v>278</v>
      </c>
      <c r="D72" s="211" t="s">
        <v>53</v>
      </c>
      <c r="E72" s="160">
        <v>91338</v>
      </c>
      <c r="F72" s="77">
        <v>16.8</v>
      </c>
      <c r="G72" s="78">
        <v>891.32</v>
      </c>
      <c r="H72" s="240">
        <f t="shared" si="15"/>
        <v>1137.5899999999999</v>
      </c>
      <c r="I72" s="240">
        <f t="shared" si="16"/>
        <v>19111.509999999998</v>
      </c>
      <c r="J72" s="116">
        <v>0</v>
      </c>
      <c r="K72" s="117" t="e">
        <f>(J72*#REF!)</f>
        <v>#REF!</v>
      </c>
      <c r="L72" s="95"/>
      <c r="N72" s="104"/>
    </row>
    <row r="73" spans="2:14" s="1" customFormat="1" ht="12.75" customHeight="1">
      <c r="B73" s="306" t="s">
        <v>6</v>
      </c>
      <c r="C73" s="307"/>
      <c r="D73" s="307"/>
      <c r="E73" s="307"/>
      <c r="F73" s="307"/>
      <c r="G73" s="308">
        <f>(100%)</f>
        <v>1</v>
      </c>
      <c r="H73" s="309"/>
      <c r="I73" s="168">
        <f>SUM(I71:I72)</f>
        <v>19857.019999999997</v>
      </c>
      <c r="J73" s="114" t="e">
        <f>(K73/#REF!)</f>
        <v>#REF!</v>
      </c>
      <c r="K73" s="115" t="e">
        <f>SUM(K71:K71)</f>
        <v>#REF!</v>
      </c>
      <c r="L73" s="70"/>
      <c r="N73" s="6"/>
    </row>
    <row r="74" spans="2:14" s="103" customFormat="1">
      <c r="B74" s="166">
        <v>10</v>
      </c>
      <c r="C74" s="214" t="s">
        <v>42</v>
      </c>
      <c r="D74" s="207"/>
      <c r="E74" s="207"/>
      <c r="F74" s="207"/>
      <c r="G74" s="207"/>
      <c r="H74" s="207"/>
      <c r="I74" s="208"/>
      <c r="J74" s="95"/>
      <c r="K74" s="95"/>
      <c r="L74" s="102"/>
      <c r="N74" s="104"/>
    </row>
    <row r="75" spans="2:14" s="103" customFormat="1" ht="33.75" customHeight="1">
      <c r="B75" s="289" t="s">
        <v>111</v>
      </c>
      <c r="C75" s="75" t="s">
        <v>54</v>
      </c>
      <c r="D75" s="211" t="s">
        <v>55</v>
      </c>
      <c r="E75" s="209">
        <v>83534</v>
      </c>
      <c r="F75" s="77">
        <v>9.83</v>
      </c>
      <c r="G75" s="78">
        <v>474.24</v>
      </c>
      <c r="H75" s="240">
        <f t="shared" ref="H75:H78" si="17">TRUNC(G75*(1+$H$15),2)</f>
        <v>605.27</v>
      </c>
      <c r="I75" s="240">
        <f t="shared" ref="I75:I78" si="18">TRUNC(H75*F75,2)</f>
        <v>5949.8</v>
      </c>
      <c r="J75" s="116">
        <v>0.8</v>
      </c>
      <c r="K75" s="117" t="e">
        <f>(J75*#REF!)</f>
        <v>#REF!</v>
      </c>
      <c r="L75" s="95"/>
      <c r="N75" s="104"/>
    </row>
    <row r="76" spans="2:14" s="103" customFormat="1" ht="33.75" customHeight="1">
      <c r="B76" s="289" t="s">
        <v>112</v>
      </c>
      <c r="C76" s="75" t="s">
        <v>186</v>
      </c>
      <c r="D76" s="211" t="s">
        <v>55</v>
      </c>
      <c r="E76" s="209">
        <v>87298</v>
      </c>
      <c r="F76" s="77">
        <v>4.91</v>
      </c>
      <c r="G76" s="78">
        <v>441.13</v>
      </c>
      <c r="H76" s="240">
        <f t="shared" si="17"/>
        <v>563.01</v>
      </c>
      <c r="I76" s="240">
        <f t="shared" si="18"/>
        <v>2764.37</v>
      </c>
      <c r="J76" s="116">
        <v>0.8</v>
      </c>
      <c r="K76" s="117" t="e">
        <f>(J76*#REF!)</f>
        <v>#REF!</v>
      </c>
      <c r="L76" s="95"/>
      <c r="N76" s="104"/>
    </row>
    <row r="77" spans="2:14" ht="42.75" customHeight="1">
      <c r="B77" s="289" t="s">
        <v>309</v>
      </c>
      <c r="C77" s="75" t="s">
        <v>185</v>
      </c>
      <c r="D77" s="211" t="s">
        <v>56</v>
      </c>
      <c r="E77" s="209">
        <v>87251</v>
      </c>
      <c r="F77" s="77">
        <v>163.75</v>
      </c>
      <c r="G77" s="78">
        <v>26.04</v>
      </c>
      <c r="H77" s="240">
        <f t="shared" si="17"/>
        <v>33.229999999999997</v>
      </c>
      <c r="I77" s="240">
        <f t="shared" si="18"/>
        <v>5441.41</v>
      </c>
      <c r="J77" s="215">
        <v>0</v>
      </c>
      <c r="K77" s="216" t="e">
        <f>(J77*#REF!)</f>
        <v>#REF!</v>
      </c>
      <c r="L77" s="69"/>
    </row>
    <row r="78" spans="2:14" s="103" customFormat="1" ht="37.5" customHeight="1">
      <c r="B78" s="289" t="s">
        <v>310</v>
      </c>
      <c r="C78" s="239" t="s">
        <v>280</v>
      </c>
      <c r="D78" s="211" t="s">
        <v>56</v>
      </c>
      <c r="E78" s="210" t="s">
        <v>65</v>
      </c>
      <c r="F78" s="77">
        <v>6.52</v>
      </c>
      <c r="G78" s="78">
        <v>11.29</v>
      </c>
      <c r="H78" s="240">
        <f t="shared" si="17"/>
        <v>14.4</v>
      </c>
      <c r="I78" s="240">
        <f t="shared" si="18"/>
        <v>93.88</v>
      </c>
      <c r="J78" s="116">
        <v>0</v>
      </c>
      <c r="K78" s="117" t="e">
        <f>(J78*#REF!)</f>
        <v>#REF!</v>
      </c>
      <c r="L78" s="95"/>
      <c r="N78" s="104"/>
    </row>
    <row r="79" spans="2:14" s="1" customFormat="1" ht="12.75" customHeight="1">
      <c r="B79" s="306" t="s">
        <v>6</v>
      </c>
      <c r="C79" s="307"/>
      <c r="D79" s="307"/>
      <c r="E79" s="307"/>
      <c r="F79" s="307"/>
      <c r="G79" s="308">
        <f>(100%)</f>
        <v>1</v>
      </c>
      <c r="H79" s="309"/>
      <c r="I79" s="168">
        <f>SUM(I75:I78)</f>
        <v>14249.46</v>
      </c>
      <c r="J79" s="114" t="e">
        <f>(K79/#REF!)</f>
        <v>#REF!</v>
      </c>
      <c r="K79" s="115" t="e">
        <f>SUM(#REF!)</f>
        <v>#REF!</v>
      </c>
      <c r="L79" s="70"/>
      <c r="N79" s="6"/>
    </row>
    <row r="80" spans="2:14" s="103" customFormat="1">
      <c r="B80" s="166">
        <v>11</v>
      </c>
      <c r="C80" s="214" t="s">
        <v>43</v>
      </c>
      <c r="D80" s="302"/>
      <c r="E80" s="302"/>
      <c r="F80" s="302"/>
      <c r="G80" s="302"/>
      <c r="H80" s="302"/>
      <c r="I80" s="303"/>
      <c r="J80" s="95"/>
      <c r="K80" s="95"/>
      <c r="L80" s="102"/>
      <c r="N80" s="104"/>
    </row>
    <row r="81" spans="2:14" s="103" customFormat="1" ht="25.5">
      <c r="B81" s="289" t="s">
        <v>113</v>
      </c>
      <c r="C81" s="294" t="s">
        <v>282</v>
      </c>
      <c r="D81" s="290" t="s">
        <v>53</v>
      </c>
      <c r="E81" s="295">
        <v>88482</v>
      </c>
      <c r="F81" s="295">
        <v>102.74</v>
      </c>
      <c r="G81" s="295">
        <v>2.13</v>
      </c>
      <c r="H81" s="240">
        <f t="shared" ref="H81:H85" si="19">TRUNC(G81*(1+$H$15),2)</f>
        <v>2.71</v>
      </c>
      <c r="I81" s="240">
        <f t="shared" ref="I81:I85" si="20">TRUNC(H81*F81,2)</f>
        <v>278.42</v>
      </c>
      <c r="J81" s="95"/>
      <c r="K81" s="95"/>
      <c r="L81" s="102"/>
      <c r="N81" s="104"/>
    </row>
    <row r="82" spans="2:14" s="103" customFormat="1" ht="30" customHeight="1">
      <c r="B82" s="289" t="s">
        <v>148</v>
      </c>
      <c r="C82" s="294" t="s">
        <v>281</v>
      </c>
      <c r="D82" s="290" t="s">
        <v>53</v>
      </c>
      <c r="E82" s="295">
        <v>88486</v>
      </c>
      <c r="F82" s="295">
        <v>102.74</v>
      </c>
      <c r="G82" s="295">
        <v>8.59</v>
      </c>
      <c r="H82" s="240">
        <f t="shared" si="19"/>
        <v>10.96</v>
      </c>
      <c r="I82" s="240">
        <f t="shared" si="20"/>
        <v>1126.03</v>
      </c>
      <c r="J82" s="95"/>
      <c r="K82" s="95"/>
      <c r="L82" s="102"/>
      <c r="N82" s="104"/>
    </row>
    <row r="83" spans="2:14" s="103" customFormat="1" ht="38.25" customHeight="1">
      <c r="B83" s="289" t="s">
        <v>217</v>
      </c>
      <c r="C83" s="75" t="s">
        <v>160</v>
      </c>
      <c r="D83" s="211" t="s">
        <v>56</v>
      </c>
      <c r="E83" s="209">
        <v>88483</v>
      </c>
      <c r="F83" s="77">
        <v>372.4</v>
      </c>
      <c r="G83" s="78">
        <v>1.94</v>
      </c>
      <c r="H83" s="240">
        <f t="shared" si="19"/>
        <v>2.4700000000000002</v>
      </c>
      <c r="I83" s="240">
        <f t="shared" si="20"/>
        <v>919.82</v>
      </c>
      <c r="J83" s="116">
        <v>0</v>
      </c>
      <c r="K83" s="117" t="e">
        <f>(J83*#REF!)</f>
        <v>#REF!</v>
      </c>
      <c r="L83" s="95"/>
      <c r="N83" s="104"/>
    </row>
    <row r="84" spans="2:14" s="103" customFormat="1" ht="35.25" customHeight="1">
      <c r="B84" s="289" t="s">
        <v>218</v>
      </c>
      <c r="C84" s="75" t="s">
        <v>59</v>
      </c>
      <c r="D84" s="211" t="s">
        <v>56</v>
      </c>
      <c r="E84" s="209">
        <v>88487</v>
      </c>
      <c r="F84" s="77">
        <v>209.94</v>
      </c>
      <c r="G84" s="78">
        <v>7.7</v>
      </c>
      <c r="H84" s="240">
        <f t="shared" si="19"/>
        <v>9.82</v>
      </c>
      <c r="I84" s="240">
        <f t="shared" si="20"/>
        <v>2061.61</v>
      </c>
      <c r="J84" s="116">
        <v>0</v>
      </c>
      <c r="K84" s="117" t="e">
        <f>(J84*#REF!)</f>
        <v>#REF!</v>
      </c>
      <c r="L84" s="95"/>
      <c r="N84" s="104"/>
    </row>
    <row r="85" spans="2:14" s="103" customFormat="1">
      <c r="B85" s="289" t="s">
        <v>311</v>
      </c>
      <c r="C85" s="75" t="s">
        <v>285</v>
      </c>
      <c r="D85" s="211" t="s">
        <v>56</v>
      </c>
      <c r="E85" s="160">
        <v>79460</v>
      </c>
      <c r="F85" s="77">
        <v>162.46</v>
      </c>
      <c r="G85" s="78">
        <v>36.32</v>
      </c>
      <c r="H85" s="240">
        <f t="shared" si="19"/>
        <v>46.35</v>
      </c>
      <c r="I85" s="240">
        <f t="shared" si="20"/>
        <v>7530.02</v>
      </c>
      <c r="J85" s="116">
        <v>0</v>
      </c>
      <c r="K85" s="117" t="e">
        <f>(J85*#REF!)</f>
        <v>#REF!</v>
      </c>
      <c r="L85" s="95"/>
      <c r="N85" s="104"/>
    </row>
    <row r="86" spans="2:14" s="1" customFormat="1" ht="12.75" customHeight="1">
      <c r="B86" s="306" t="s">
        <v>6</v>
      </c>
      <c r="C86" s="307"/>
      <c r="D86" s="307"/>
      <c r="E86" s="307"/>
      <c r="F86" s="307"/>
      <c r="G86" s="308">
        <f>(100%)</f>
        <v>1</v>
      </c>
      <c r="H86" s="309"/>
      <c r="I86" s="168">
        <f>SUM(I81:I85)</f>
        <v>11915.900000000001</v>
      </c>
      <c r="J86" s="114" t="e">
        <f>(K86/#REF!)</f>
        <v>#REF!</v>
      </c>
      <c r="K86" s="115" t="e">
        <f>SUM(K84:K84)</f>
        <v>#REF!</v>
      </c>
      <c r="L86" s="70"/>
      <c r="M86" s="81"/>
      <c r="N86" s="6"/>
    </row>
    <row r="87" spans="2:14" s="103" customFormat="1">
      <c r="B87" s="166">
        <v>12</v>
      </c>
      <c r="C87" s="21" t="s">
        <v>45</v>
      </c>
      <c r="D87" s="302"/>
      <c r="E87" s="302"/>
      <c r="F87" s="302"/>
      <c r="G87" s="302"/>
      <c r="H87" s="302"/>
      <c r="I87" s="303"/>
      <c r="J87" s="95"/>
      <c r="K87" s="95"/>
      <c r="L87" s="102"/>
      <c r="N87" s="104"/>
    </row>
    <row r="88" spans="2:14" s="103" customFormat="1" ht="15.75" customHeight="1">
      <c r="B88" s="378" t="s">
        <v>153</v>
      </c>
      <c r="C88" s="380"/>
      <c r="D88" s="161"/>
      <c r="E88" s="162"/>
      <c r="F88" s="163"/>
      <c r="G88" s="164"/>
      <c r="H88" s="165"/>
      <c r="I88" s="169"/>
      <c r="J88" s="116">
        <v>0</v>
      </c>
      <c r="K88" s="117" t="e">
        <f>(J88*#REF!)</f>
        <v>#REF!</v>
      </c>
      <c r="L88" s="95"/>
      <c r="N88" s="104"/>
    </row>
    <row r="89" spans="2:14" s="154" customFormat="1" ht="31.5" customHeight="1">
      <c r="B89" s="289" t="s">
        <v>114</v>
      </c>
      <c r="C89" s="75" t="s">
        <v>140</v>
      </c>
      <c r="D89" s="77" t="s">
        <v>52</v>
      </c>
      <c r="E89" s="160">
        <v>89356</v>
      </c>
      <c r="F89" s="241">
        <f>13.14+1.7</f>
        <v>14.84</v>
      </c>
      <c r="G89" s="78">
        <v>14.99</v>
      </c>
      <c r="H89" s="240">
        <f t="shared" ref="H89:H124" si="21">TRUNC(G89*(1+$H$15),2)</f>
        <v>19.13</v>
      </c>
      <c r="I89" s="240">
        <f t="shared" ref="I89:I104" si="22">TRUNC(H89*F89,2)</f>
        <v>283.88</v>
      </c>
      <c r="J89" s="116">
        <v>0</v>
      </c>
      <c r="K89" s="117" t="e">
        <f>(J89*#REF!)</f>
        <v>#REF!</v>
      </c>
      <c r="L89" s="95"/>
    </row>
    <row r="90" spans="2:14" s="103" customFormat="1" ht="31.5" customHeight="1">
      <c r="B90" s="289" t="s">
        <v>115</v>
      </c>
      <c r="C90" s="75" t="s">
        <v>141</v>
      </c>
      <c r="D90" s="77" t="s">
        <v>52</v>
      </c>
      <c r="E90" s="209">
        <v>89449</v>
      </c>
      <c r="F90" s="241">
        <f>54.93+1.74</f>
        <v>56.67</v>
      </c>
      <c r="G90" s="78">
        <v>12.71</v>
      </c>
      <c r="H90" s="240">
        <f t="shared" si="21"/>
        <v>16.22</v>
      </c>
      <c r="I90" s="240">
        <f t="shared" si="22"/>
        <v>919.18</v>
      </c>
      <c r="J90" s="116">
        <v>0</v>
      </c>
      <c r="K90" s="117" t="e">
        <f>(J90*#REF!)</f>
        <v>#REF!</v>
      </c>
      <c r="L90" s="95"/>
      <c r="N90" s="104"/>
    </row>
    <row r="91" spans="2:14" s="103" customFormat="1" ht="33" customHeight="1">
      <c r="B91" s="289" t="s">
        <v>181</v>
      </c>
      <c r="C91" s="75" t="s">
        <v>142</v>
      </c>
      <c r="D91" s="77" t="s">
        <v>73</v>
      </c>
      <c r="E91" s="209">
        <v>89362</v>
      </c>
      <c r="F91" s="241">
        <v>5</v>
      </c>
      <c r="G91" s="78">
        <v>6.12</v>
      </c>
      <c r="H91" s="240">
        <f t="shared" si="21"/>
        <v>7.81</v>
      </c>
      <c r="I91" s="240">
        <f t="shared" si="22"/>
        <v>39.049999999999997</v>
      </c>
      <c r="J91" s="116">
        <v>0</v>
      </c>
      <c r="K91" s="117" t="e">
        <f>(J91*#REF!)</f>
        <v>#REF!</v>
      </c>
      <c r="L91" s="95"/>
      <c r="N91" s="104"/>
    </row>
    <row r="92" spans="2:14" s="103" customFormat="1" ht="36" customHeight="1">
      <c r="B92" s="289" t="s">
        <v>283</v>
      </c>
      <c r="C92" s="75" t="s">
        <v>143</v>
      </c>
      <c r="D92" s="77" t="s">
        <v>73</v>
      </c>
      <c r="E92" s="209">
        <v>89501</v>
      </c>
      <c r="F92" s="241">
        <v>8</v>
      </c>
      <c r="G92" s="78">
        <v>9.44</v>
      </c>
      <c r="H92" s="240">
        <f t="shared" si="21"/>
        <v>12.04</v>
      </c>
      <c r="I92" s="240">
        <f t="shared" si="22"/>
        <v>96.32</v>
      </c>
      <c r="J92" s="116">
        <v>0</v>
      </c>
      <c r="K92" s="117" t="e">
        <f>(J92*#REF!)</f>
        <v>#REF!</v>
      </c>
      <c r="L92" s="95"/>
      <c r="N92" s="104"/>
    </row>
    <row r="93" spans="2:14" s="15" customFormat="1" ht="45" customHeight="1">
      <c r="B93" s="289" t="s">
        <v>284</v>
      </c>
      <c r="C93" s="75" t="s">
        <v>144</v>
      </c>
      <c r="D93" s="77" t="s">
        <v>73</v>
      </c>
      <c r="E93" s="210">
        <v>90373</v>
      </c>
      <c r="F93" s="241">
        <v>5</v>
      </c>
      <c r="G93" s="78">
        <v>10.039999999999999</v>
      </c>
      <c r="H93" s="240">
        <f t="shared" si="21"/>
        <v>12.81</v>
      </c>
      <c r="I93" s="240">
        <f t="shared" si="22"/>
        <v>64.05</v>
      </c>
      <c r="J93" s="119"/>
      <c r="K93" s="120"/>
      <c r="L93" s="83"/>
      <c r="N93" s="16"/>
    </row>
    <row r="94" spans="2:14" s="15" customFormat="1" ht="37.5" customHeight="1">
      <c r="B94" s="289" t="s">
        <v>312</v>
      </c>
      <c r="C94" s="75" t="s">
        <v>145</v>
      </c>
      <c r="D94" s="77" t="s">
        <v>73</v>
      </c>
      <c r="E94" s="210">
        <v>89395</v>
      </c>
      <c r="F94" s="241">
        <v>4</v>
      </c>
      <c r="G94" s="78">
        <v>8.52</v>
      </c>
      <c r="H94" s="240">
        <f t="shared" si="21"/>
        <v>10.87</v>
      </c>
      <c r="I94" s="240">
        <f t="shared" si="22"/>
        <v>43.48</v>
      </c>
      <c r="J94" s="119"/>
      <c r="K94" s="120"/>
      <c r="L94" s="83"/>
      <c r="N94" s="16"/>
    </row>
    <row r="95" spans="2:14" s="15" customFormat="1" ht="41.25" customHeight="1">
      <c r="B95" s="289" t="s">
        <v>313</v>
      </c>
      <c r="C95" s="75" t="s">
        <v>146</v>
      </c>
      <c r="D95" s="77" t="s">
        <v>73</v>
      </c>
      <c r="E95" s="210">
        <v>89627</v>
      </c>
      <c r="F95" s="241">
        <v>1</v>
      </c>
      <c r="G95" s="78">
        <v>14.26</v>
      </c>
      <c r="H95" s="240">
        <f t="shared" si="21"/>
        <v>18.2</v>
      </c>
      <c r="I95" s="240">
        <f t="shared" si="22"/>
        <v>18.2</v>
      </c>
      <c r="J95" s="119"/>
      <c r="K95" s="120"/>
      <c r="L95" s="83"/>
      <c r="N95" s="16"/>
    </row>
    <row r="96" spans="2:14" s="15" customFormat="1" ht="53.25" customHeight="1">
      <c r="B96" s="289" t="s">
        <v>314</v>
      </c>
      <c r="C96" s="75" t="s">
        <v>165</v>
      </c>
      <c r="D96" s="77" t="s">
        <v>73</v>
      </c>
      <c r="E96" s="210">
        <v>89385</v>
      </c>
      <c r="F96" s="241">
        <v>1</v>
      </c>
      <c r="G96" s="78">
        <v>5.04</v>
      </c>
      <c r="H96" s="240">
        <f t="shared" si="21"/>
        <v>6.43</v>
      </c>
      <c r="I96" s="240">
        <f t="shared" si="22"/>
        <v>6.43</v>
      </c>
      <c r="J96" s="119"/>
      <c r="K96" s="120"/>
      <c r="L96" s="83"/>
      <c r="N96" s="16"/>
    </row>
    <row r="97" spans="2:14" s="103" customFormat="1" ht="55.5" customHeight="1">
      <c r="B97" s="289" t="s">
        <v>315</v>
      </c>
      <c r="C97" s="75" t="s">
        <v>155</v>
      </c>
      <c r="D97" s="211" t="s">
        <v>73</v>
      </c>
      <c r="E97" s="209">
        <v>89383</v>
      </c>
      <c r="F97" s="271">
        <v>3</v>
      </c>
      <c r="G97" s="78">
        <v>4.83</v>
      </c>
      <c r="H97" s="240">
        <f t="shared" si="21"/>
        <v>6.16</v>
      </c>
      <c r="I97" s="240">
        <f t="shared" si="22"/>
        <v>18.48</v>
      </c>
      <c r="J97" s="116">
        <v>0</v>
      </c>
      <c r="K97" s="117" t="e">
        <f>(J97*#REF!)</f>
        <v>#REF!</v>
      </c>
      <c r="L97" s="95"/>
      <c r="N97" s="104"/>
    </row>
    <row r="98" spans="2:14" s="103" customFormat="1" ht="55.5" customHeight="1">
      <c r="B98" s="289" t="s">
        <v>316</v>
      </c>
      <c r="C98" s="239" t="s">
        <v>292</v>
      </c>
      <c r="D98" s="211" t="s">
        <v>73</v>
      </c>
      <c r="E98" s="209">
        <v>89610</v>
      </c>
      <c r="F98" s="271">
        <v>2</v>
      </c>
      <c r="G98" s="78">
        <v>15.17</v>
      </c>
      <c r="H98" s="240">
        <f t="shared" si="21"/>
        <v>19.36</v>
      </c>
      <c r="I98" s="240">
        <f t="shared" si="22"/>
        <v>38.72</v>
      </c>
      <c r="J98" s="116">
        <v>0</v>
      </c>
      <c r="K98" s="117" t="e">
        <f>(J98*#REF!)</f>
        <v>#REF!</v>
      </c>
      <c r="L98" s="95"/>
      <c r="N98" s="104"/>
    </row>
    <row r="99" spans="2:14" s="103" customFormat="1" ht="55.5" customHeight="1">
      <c r="B99" s="289" t="s">
        <v>317</v>
      </c>
      <c r="C99" s="239" t="s">
        <v>293</v>
      </c>
      <c r="D99" s="211" t="s">
        <v>73</v>
      </c>
      <c r="E99" s="209">
        <v>94706</v>
      </c>
      <c r="F99" s="271">
        <v>1</v>
      </c>
      <c r="G99" s="78">
        <v>44.3</v>
      </c>
      <c r="H99" s="240">
        <f t="shared" si="21"/>
        <v>56.54</v>
      </c>
      <c r="I99" s="240">
        <f t="shared" si="22"/>
        <v>56.54</v>
      </c>
      <c r="J99" s="116">
        <v>0</v>
      </c>
      <c r="K99" s="117" t="e">
        <f>(J99*#REF!)</f>
        <v>#REF!</v>
      </c>
      <c r="L99" s="95"/>
      <c r="N99" s="104"/>
    </row>
    <row r="100" spans="2:14" s="103" customFormat="1" ht="52.5" customHeight="1">
      <c r="B100" s="289" t="s">
        <v>318</v>
      </c>
      <c r="C100" s="239" t="s">
        <v>294</v>
      </c>
      <c r="D100" s="211" t="s">
        <v>73</v>
      </c>
      <c r="E100" s="160">
        <v>94498</v>
      </c>
      <c r="F100" s="271">
        <v>1</v>
      </c>
      <c r="G100" s="78">
        <v>70.67</v>
      </c>
      <c r="H100" s="240">
        <f t="shared" si="21"/>
        <v>90.19</v>
      </c>
      <c r="I100" s="240">
        <f t="shared" si="22"/>
        <v>90.19</v>
      </c>
      <c r="J100" s="116">
        <v>0</v>
      </c>
      <c r="K100" s="117" t="e">
        <f>(J100*#REF!)</f>
        <v>#REF!</v>
      </c>
      <c r="L100" s="95"/>
      <c r="N100" s="104"/>
    </row>
    <row r="101" spans="2:14" s="103" customFormat="1" ht="52.5" customHeight="1">
      <c r="B101" s="289" t="s">
        <v>319</v>
      </c>
      <c r="C101" s="75" t="s">
        <v>154</v>
      </c>
      <c r="D101" s="211" t="s">
        <v>73</v>
      </c>
      <c r="E101" s="160">
        <v>89987</v>
      </c>
      <c r="F101" s="271">
        <v>1</v>
      </c>
      <c r="G101" s="78">
        <v>37.200000000000003</v>
      </c>
      <c r="H101" s="240">
        <f t="shared" si="21"/>
        <v>47.47</v>
      </c>
      <c r="I101" s="240">
        <f t="shared" si="22"/>
        <v>47.47</v>
      </c>
      <c r="J101" s="116">
        <v>0</v>
      </c>
      <c r="K101" s="117" t="e">
        <f>(J101*#REF!)</f>
        <v>#REF!</v>
      </c>
      <c r="L101" s="95"/>
      <c r="N101" s="104"/>
    </row>
    <row r="102" spans="2:14" s="103" customFormat="1" ht="52.5" customHeight="1">
      <c r="B102" s="289" t="s">
        <v>320</v>
      </c>
      <c r="C102" s="75" t="s">
        <v>167</v>
      </c>
      <c r="D102" s="211" t="s">
        <v>73</v>
      </c>
      <c r="E102" s="160">
        <v>89985</v>
      </c>
      <c r="F102" s="271">
        <v>1</v>
      </c>
      <c r="G102" s="78">
        <v>35.58</v>
      </c>
      <c r="H102" s="240">
        <f t="shared" si="21"/>
        <v>45.41</v>
      </c>
      <c r="I102" s="240">
        <f t="shared" si="22"/>
        <v>45.41</v>
      </c>
      <c r="J102" s="116">
        <v>0</v>
      </c>
      <c r="K102" s="117" t="e">
        <f>(J102*#REF!)</f>
        <v>#REF!</v>
      </c>
      <c r="L102" s="95"/>
      <c r="N102" s="104"/>
    </row>
    <row r="103" spans="2:14" s="103" customFormat="1" ht="42" customHeight="1">
      <c r="B103" s="289" t="s">
        <v>321</v>
      </c>
      <c r="C103" s="75" t="s">
        <v>166</v>
      </c>
      <c r="D103" s="211" t="s">
        <v>73</v>
      </c>
      <c r="E103" s="160">
        <v>9535</v>
      </c>
      <c r="F103" s="271">
        <v>1</v>
      </c>
      <c r="G103" s="78">
        <v>69.41</v>
      </c>
      <c r="H103" s="240">
        <f t="shared" si="21"/>
        <v>88.58</v>
      </c>
      <c r="I103" s="240">
        <f t="shared" si="22"/>
        <v>88.58</v>
      </c>
      <c r="J103" s="116">
        <v>0</v>
      </c>
      <c r="K103" s="117" t="e">
        <f>(J103*#REF!)</f>
        <v>#REF!</v>
      </c>
      <c r="L103" s="95"/>
      <c r="N103" s="104"/>
    </row>
    <row r="104" spans="2:14" s="103" customFormat="1" ht="42" customHeight="1">
      <c r="B104" s="289" t="s">
        <v>322</v>
      </c>
      <c r="C104" s="239" t="s">
        <v>296</v>
      </c>
      <c r="D104" s="290" t="s">
        <v>2</v>
      </c>
      <c r="E104" s="160">
        <v>86910</v>
      </c>
      <c r="F104" s="271">
        <v>1</v>
      </c>
      <c r="G104" s="78">
        <v>99.89</v>
      </c>
      <c r="H104" s="240">
        <f t="shared" si="21"/>
        <v>127.48</v>
      </c>
      <c r="I104" s="240">
        <f t="shared" si="22"/>
        <v>127.48</v>
      </c>
      <c r="J104" s="116"/>
      <c r="K104" s="117"/>
      <c r="L104" s="95"/>
      <c r="N104" s="104"/>
    </row>
    <row r="105" spans="2:14" ht="18.75" customHeight="1">
      <c r="B105" s="378" t="s">
        <v>44</v>
      </c>
      <c r="C105" s="379"/>
      <c r="D105" s="211"/>
      <c r="E105" s="209"/>
      <c r="F105" s="77"/>
      <c r="G105" s="78"/>
      <c r="H105" s="79"/>
      <c r="I105" s="79"/>
      <c r="J105" s="112">
        <v>0</v>
      </c>
      <c r="K105" s="113" t="e">
        <f>(J105*#REF!)</f>
        <v>#REF!</v>
      </c>
      <c r="L105" s="69"/>
    </row>
    <row r="106" spans="2:14" s="103" customFormat="1" ht="46.5" customHeight="1">
      <c r="B106" s="289" t="s">
        <v>323</v>
      </c>
      <c r="C106" s="276" t="s">
        <v>89</v>
      </c>
      <c r="D106" s="211" t="s">
        <v>52</v>
      </c>
      <c r="E106" s="209">
        <v>89714</v>
      </c>
      <c r="F106" s="241">
        <v>29.14</v>
      </c>
      <c r="G106" s="78">
        <v>36.19</v>
      </c>
      <c r="H106" s="240">
        <f t="shared" si="21"/>
        <v>46.18</v>
      </c>
      <c r="I106" s="240">
        <f t="shared" ref="I106:I124" si="23">TRUNC(H106*F106,2)</f>
        <v>1345.68</v>
      </c>
      <c r="J106" s="116">
        <v>1</v>
      </c>
      <c r="K106" s="117" t="e">
        <f>(J106*#REF!)</f>
        <v>#REF!</v>
      </c>
      <c r="L106" s="95"/>
      <c r="N106" s="104"/>
    </row>
    <row r="107" spans="2:14" s="103" customFormat="1" ht="48" customHeight="1">
      <c r="B107" s="289" t="s">
        <v>324</v>
      </c>
      <c r="C107" s="276" t="s">
        <v>74</v>
      </c>
      <c r="D107" s="211" t="s">
        <v>52</v>
      </c>
      <c r="E107" s="209">
        <v>89712</v>
      </c>
      <c r="F107" s="241">
        <v>6.76</v>
      </c>
      <c r="G107" s="78">
        <v>18.66</v>
      </c>
      <c r="H107" s="240">
        <f t="shared" si="21"/>
        <v>23.81</v>
      </c>
      <c r="I107" s="240">
        <f t="shared" si="23"/>
        <v>160.94999999999999</v>
      </c>
      <c r="J107" s="116">
        <v>1</v>
      </c>
      <c r="K107" s="117" t="e">
        <f>(J107*#REF!)</f>
        <v>#REF!</v>
      </c>
      <c r="L107" s="95"/>
      <c r="N107" s="104"/>
    </row>
    <row r="108" spans="2:14" s="103" customFormat="1" ht="47.25" customHeight="1">
      <c r="B108" s="289" t="s">
        <v>325</v>
      </c>
      <c r="C108" s="276" t="s">
        <v>90</v>
      </c>
      <c r="D108" s="211" t="s">
        <v>52</v>
      </c>
      <c r="E108" s="209">
        <v>89711</v>
      </c>
      <c r="F108" s="241">
        <v>3</v>
      </c>
      <c r="G108" s="78">
        <v>12.69</v>
      </c>
      <c r="H108" s="240">
        <f t="shared" si="21"/>
        <v>16.190000000000001</v>
      </c>
      <c r="I108" s="240">
        <f t="shared" si="23"/>
        <v>48.57</v>
      </c>
      <c r="J108" s="116">
        <v>1</v>
      </c>
      <c r="K108" s="117" t="e">
        <f>(J108*#REF!)</f>
        <v>#REF!</v>
      </c>
      <c r="L108" s="95"/>
      <c r="N108" s="104"/>
    </row>
    <row r="109" spans="2:14" s="103" customFormat="1" ht="47.25" customHeight="1">
      <c r="B109" s="289" t="s">
        <v>326</v>
      </c>
      <c r="C109" s="276" t="s">
        <v>91</v>
      </c>
      <c r="D109" s="211" t="s">
        <v>73</v>
      </c>
      <c r="E109" s="209">
        <v>89728</v>
      </c>
      <c r="F109" s="241">
        <v>2</v>
      </c>
      <c r="G109" s="78">
        <v>7.29</v>
      </c>
      <c r="H109" s="240">
        <f t="shared" si="21"/>
        <v>9.3000000000000007</v>
      </c>
      <c r="I109" s="240">
        <f t="shared" si="23"/>
        <v>18.600000000000001</v>
      </c>
      <c r="J109" s="116">
        <v>1</v>
      </c>
      <c r="K109" s="117" t="e">
        <f>(J109*#REF!)</f>
        <v>#REF!</v>
      </c>
      <c r="L109" s="95"/>
      <c r="N109" s="104"/>
    </row>
    <row r="110" spans="2:14" s="103" customFormat="1" ht="58.5" customHeight="1">
      <c r="B110" s="289" t="s">
        <v>327</v>
      </c>
      <c r="C110" s="276" t="s">
        <v>152</v>
      </c>
      <c r="D110" s="211" t="s">
        <v>73</v>
      </c>
      <c r="E110" s="209">
        <v>89744</v>
      </c>
      <c r="F110" s="241">
        <v>2</v>
      </c>
      <c r="G110" s="78">
        <v>16.97</v>
      </c>
      <c r="H110" s="240">
        <f t="shared" si="21"/>
        <v>21.65</v>
      </c>
      <c r="I110" s="240">
        <f t="shared" si="23"/>
        <v>43.3</v>
      </c>
      <c r="J110" s="116">
        <v>1</v>
      </c>
      <c r="K110" s="117" t="e">
        <f>(J110*#REF!)</f>
        <v>#REF!</v>
      </c>
      <c r="L110" s="95"/>
      <c r="N110" s="104"/>
    </row>
    <row r="111" spans="2:14" s="103" customFormat="1" ht="55.5" customHeight="1">
      <c r="B111" s="289" t="s">
        <v>328</v>
      </c>
      <c r="C111" s="276" t="s">
        <v>164</v>
      </c>
      <c r="D111" s="211" t="s">
        <v>73</v>
      </c>
      <c r="E111" s="209">
        <v>89724</v>
      </c>
      <c r="F111" s="241">
        <v>2</v>
      </c>
      <c r="G111" s="78">
        <v>5.53</v>
      </c>
      <c r="H111" s="240">
        <f t="shared" si="21"/>
        <v>7.05</v>
      </c>
      <c r="I111" s="240">
        <f t="shared" si="23"/>
        <v>14.1</v>
      </c>
      <c r="J111" s="116">
        <v>1</v>
      </c>
      <c r="K111" s="117" t="e">
        <f>(J111*#REF!)</f>
        <v>#REF!</v>
      </c>
      <c r="L111" s="95"/>
      <c r="N111" s="104"/>
    </row>
    <row r="112" spans="2:14" s="103" customFormat="1" ht="44.25" customHeight="1">
      <c r="B112" s="289" t="s">
        <v>329</v>
      </c>
      <c r="C112" s="281" t="s">
        <v>299</v>
      </c>
      <c r="D112" s="211" t="s">
        <v>73</v>
      </c>
      <c r="E112" s="209">
        <v>89546</v>
      </c>
      <c r="F112" s="241">
        <v>1</v>
      </c>
      <c r="G112" s="78">
        <v>6.36</v>
      </c>
      <c r="H112" s="240">
        <f t="shared" si="21"/>
        <v>8.11</v>
      </c>
      <c r="I112" s="240">
        <f t="shared" si="23"/>
        <v>8.11</v>
      </c>
      <c r="J112" s="116">
        <v>1</v>
      </c>
      <c r="K112" s="117" t="e">
        <f>(J112*#REF!)</f>
        <v>#REF!</v>
      </c>
      <c r="L112" s="95"/>
      <c r="N112" s="104"/>
    </row>
    <row r="113" spans="1:14" s="103" customFormat="1" ht="44.25" customHeight="1">
      <c r="B113" s="289" t="s">
        <v>330</v>
      </c>
      <c r="C113" s="281" t="s">
        <v>300</v>
      </c>
      <c r="D113" s="211" t="s">
        <v>73</v>
      </c>
      <c r="E113" s="209">
        <v>89732</v>
      </c>
      <c r="F113" s="241">
        <v>1</v>
      </c>
      <c r="G113" s="78">
        <v>8.0399999999999991</v>
      </c>
      <c r="H113" s="240">
        <f t="shared" si="21"/>
        <v>10.26</v>
      </c>
      <c r="I113" s="240">
        <f t="shared" si="23"/>
        <v>10.26</v>
      </c>
      <c r="J113" s="116"/>
      <c r="K113" s="117"/>
      <c r="L113" s="95"/>
      <c r="N113" s="104"/>
    </row>
    <row r="114" spans="1:14" s="103" customFormat="1" ht="44.25" customHeight="1">
      <c r="B114" s="289" t="s">
        <v>331</v>
      </c>
      <c r="C114" s="281" t="s">
        <v>301</v>
      </c>
      <c r="D114" s="211" t="s">
        <v>73</v>
      </c>
      <c r="E114" s="209">
        <v>89785</v>
      </c>
      <c r="F114" s="241">
        <v>1</v>
      </c>
      <c r="G114" s="78">
        <v>14.46</v>
      </c>
      <c r="H114" s="240">
        <f t="shared" si="21"/>
        <v>18.45</v>
      </c>
      <c r="I114" s="240">
        <f t="shared" si="23"/>
        <v>18.45</v>
      </c>
      <c r="J114" s="116"/>
      <c r="K114" s="117"/>
      <c r="L114" s="95"/>
      <c r="N114" s="104"/>
    </row>
    <row r="115" spans="1:14" s="103" customFormat="1" ht="47.25" customHeight="1">
      <c r="B115" s="289" t="s">
        <v>332</v>
      </c>
      <c r="C115" s="276" t="s">
        <v>172</v>
      </c>
      <c r="D115" s="211" t="s">
        <v>73</v>
      </c>
      <c r="E115" s="160">
        <v>89482</v>
      </c>
      <c r="F115" s="241">
        <v>1</v>
      </c>
      <c r="G115" s="78">
        <v>17.28</v>
      </c>
      <c r="H115" s="240">
        <f t="shared" si="21"/>
        <v>22.05</v>
      </c>
      <c r="I115" s="240">
        <f t="shared" si="23"/>
        <v>22.05</v>
      </c>
      <c r="J115" s="116">
        <v>1</v>
      </c>
      <c r="K115" s="117" t="e">
        <f>(J115*#REF!)</f>
        <v>#REF!</v>
      </c>
      <c r="L115" s="95"/>
      <c r="N115" s="104"/>
    </row>
    <row r="116" spans="1:14" s="103" customFormat="1" ht="48" customHeight="1">
      <c r="B116" s="289" t="s">
        <v>333</v>
      </c>
      <c r="C116" s="281" t="s">
        <v>295</v>
      </c>
      <c r="D116" s="290" t="s">
        <v>2</v>
      </c>
      <c r="E116" s="160">
        <v>86932</v>
      </c>
      <c r="F116" s="271">
        <v>1</v>
      </c>
      <c r="G116" s="78">
        <v>370.38</v>
      </c>
      <c r="H116" s="240">
        <f t="shared" si="21"/>
        <v>472.71</v>
      </c>
      <c r="I116" s="240">
        <f t="shared" si="23"/>
        <v>472.71</v>
      </c>
      <c r="J116" s="116">
        <v>0</v>
      </c>
      <c r="K116" s="117" t="e">
        <f>(J116*#REF!)</f>
        <v>#REF!</v>
      </c>
      <c r="L116" s="95"/>
      <c r="N116" s="104"/>
    </row>
    <row r="117" spans="1:14" s="103" customFormat="1" ht="63" customHeight="1">
      <c r="B117" s="289" t="s">
        <v>334</v>
      </c>
      <c r="C117" s="276" t="s">
        <v>183</v>
      </c>
      <c r="D117" s="77" t="s">
        <v>73</v>
      </c>
      <c r="E117" s="212">
        <v>86941</v>
      </c>
      <c r="F117" s="241">
        <v>1</v>
      </c>
      <c r="G117" s="78">
        <v>501.79</v>
      </c>
      <c r="H117" s="240">
        <f t="shared" si="21"/>
        <v>640.42999999999995</v>
      </c>
      <c r="I117" s="240">
        <f t="shared" si="23"/>
        <v>640.42999999999995</v>
      </c>
      <c r="J117" s="116">
        <v>0</v>
      </c>
      <c r="K117" s="117" t="e">
        <f>(J117*#REF!)</f>
        <v>#REF!</v>
      </c>
      <c r="L117" s="95"/>
      <c r="N117" s="104"/>
    </row>
    <row r="118" spans="1:14" s="103" customFormat="1" ht="57" customHeight="1">
      <c r="B118" s="289" t="s">
        <v>335</v>
      </c>
      <c r="C118" s="276" t="s">
        <v>151</v>
      </c>
      <c r="D118" s="77" t="s">
        <v>73</v>
      </c>
      <c r="E118" s="209">
        <v>86919</v>
      </c>
      <c r="F118" s="241">
        <v>1</v>
      </c>
      <c r="G118" s="78">
        <v>656.32</v>
      </c>
      <c r="H118" s="240">
        <f t="shared" si="21"/>
        <v>837.66</v>
      </c>
      <c r="I118" s="240">
        <f t="shared" si="23"/>
        <v>837.66</v>
      </c>
      <c r="J118" s="116">
        <v>0</v>
      </c>
      <c r="K118" s="117" t="e">
        <f>(J118*#REF!)</f>
        <v>#REF!</v>
      </c>
      <c r="L118" s="95"/>
      <c r="N118" s="104"/>
    </row>
    <row r="119" spans="1:14" s="103" customFormat="1" ht="45" customHeight="1">
      <c r="B119" s="289" t="s">
        <v>336</v>
      </c>
      <c r="C119" s="276" t="s">
        <v>182</v>
      </c>
      <c r="D119" s="77" t="s">
        <v>73</v>
      </c>
      <c r="E119" s="209">
        <v>95546</v>
      </c>
      <c r="F119" s="241">
        <v>1</v>
      </c>
      <c r="G119" s="78">
        <v>129.72</v>
      </c>
      <c r="H119" s="240">
        <f t="shared" si="21"/>
        <v>165.56</v>
      </c>
      <c r="I119" s="240">
        <f t="shared" si="23"/>
        <v>165.56</v>
      </c>
      <c r="J119" s="116">
        <v>0</v>
      </c>
      <c r="K119" s="117" t="e">
        <f>(J119*#REF!)</f>
        <v>#REF!</v>
      </c>
      <c r="L119" s="95"/>
      <c r="N119" s="104"/>
    </row>
    <row r="120" spans="1:14" s="103" customFormat="1" ht="42" customHeight="1">
      <c r="B120" s="289" t="s">
        <v>337</v>
      </c>
      <c r="C120" s="276" t="s">
        <v>122</v>
      </c>
      <c r="D120" s="77" t="s">
        <v>73</v>
      </c>
      <c r="E120" s="210" t="s">
        <v>121</v>
      </c>
      <c r="F120" s="241">
        <v>3</v>
      </c>
      <c r="G120" s="78">
        <v>209.81</v>
      </c>
      <c r="H120" s="240">
        <f t="shared" si="21"/>
        <v>267.77999999999997</v>
      </c>
      <c r="I120" s="240">
        <f t="shared" si="23"/>
        <v>803.34</v>
      </c>
      <c r="J120" s="116">
        <v>0</v>
      </c>
      <c r="K120" s="117" t="e">
        <f>(J120*#REF!)</f>
        <v>#REF!</v>
      </c>
      <c r="L120" s="95"/>
      <c r="N120" s="104"/>
    </row>
    <row r="121" spans="1:14" s="103" customFormat="1" ht="42" customHeight="1">
      <c r="B121" s="289" t="s">
        <v>338</v>
      </c>
      <c r="C121" s="276" t="s">
        <v>187</v>
      </c>
      <c r="D121" s="77" t="s">
        <v>73</v>
      </c>
      <c r="E121" s="210">
        <v>98103</v>
      </c>
      <c r="F121" s="241">
        <v>1</v>
      </c>
      <c r="G121" s="78">
        <v>162.44</v>
      </c>
      <c r="H121" s="240">
        <f t="shared" si="21"/>
        <v>207.32</v>
      </c>
      <c r="I121" s="240">
        <f t="shared" si="23"/>
        <v>207.32</v>
      </c>
      <c r="J121" s="116">
        <v>0</v>
      </c>
      <c r="K121" s="117" t="e">
        <f>(J121*#REF!)</f>
        <v>#REF!</v>
      </c>
      <c r="L121" s="95"/>
      <c r="N121" s="104"/>
    </row>
    <row r="122" spans="1:14" s="103" customFormat="1" ht="54" customHeight="1">
      <c r="B122" s="289" t="s">
        <v>339</v>
      </c>
      <c r="C122" s="276" t="s">
        <v>188</v>
      </c>
      <c r="D122" s="77" t="s">
        <v>73</v>
      </c>
      <c r="E122" s="209">
        <v>98052</v>
      </c>
      <c r="F122" s="241">
        <v>1</v>
      </c>
      <c r="G122" s="78">
        <v>1209.58</v>
      </c>
      <c r="H122" s="240">
        <f t="shared" si="21"/>
        <v>1543.78</v>
      </c>
      <c r="I122" s="240">
        <f t="shared" si="23"/>
        <v>1543.78</v>
      </c>
      <c r="J122" s="116"/>
      <c r="K122" s="117"/>
      <c r="L122" s="95"/>
      <c r="N122" s="104"/>
    </row>
    <row r="123" spans="1:14" s="103" customFormat="1" ht="47.25" customHeight="1">
      <c r="A123" s="192"/>
      <c r="B123" s="289" t="s">
        <v>340</v>
      </c>
      <c r="C123" s="281" t="s">
        <v>189</v>
      </c>
      <c r="D123" s="77" t="s">
        <v>73</v>
      </c>
      <c r="E123" s="209">
        <v>98088</v>
      </c>
      <c r="F123" s="241">
        <v>1</v>
      </c>
      <c r="G123" s="78">
        <v>2291.19</v>
      </c>
      <c r="H123" s="240">
        <f t="shared" si="21"/>
        <v>2924.24</v>
      </c>
      <c r="I123" s="240">
        <f t="shared" si="23"/>
        <v>2924.24</v>
      </c>
      <c r="J123" s="116"/>
      <c r="K123" s="117"/>
      <c r="L123" s="95"/>
      <c r="N123" s="104"/>
    </row>
    <row r="124" spans="1:14" s="103" customFormat="1" ht="36" customHeight="1">
      <c r="B124" s="289" t="s">
        <v>341</v>
      </c>
      <c r="C124" s="281" t="s">
        <v>253</v>
      </c>
      <c r="D124" s="77" t="s">
        <v>73</v>
      </c>
      <c r="E124" s="210" t="s">
        <v>205</v>
      </c>
      <c r="F124" s="241">
        <v>1</v>
      </c>
      <c r="G124" s="78">
        <v>1214.6400000000001</v>
      </c>
      <c r="H124" s="240">
        <f t="shared" si="21"/>
        <v>1550.24</v>
      </c>
      <c r="I124" s="240">
        <f t="shared" si="23"/>
        <v>1550.24</v>
      </c>
      <c r="J124" s="116">
        <v>0</v>
      </c>
      <c r="K124" s="117" t="e">
        <f>(J124*#REF!)</f>
        <v>#REF!</v>
      </c>
      <c r="L124" s="95"/>
      <c r="N124" s="104"/>
    </row>
    <row r="125" spans="1:14" s="1" customFormat="1" ht="12.75" customHeight="1">
      <c r="B125" s="306" t="s">
        <v>6</v>
      </c>
      <c r="C125" s="307"/>
      <c r="D125" s="307"/>
      <c r="E125" s="307"/>
      <c r="F125" s="333"/>
      <c r="G125" s="308">
        <f>(100%)</f>
        <v>1</v>
      </c>
      <c r="H125" s="309"/>
      <c r="I125" s="168">
        <f>SUM(I89:I124)</f>
        <v>12818.810000000001</v>
      </c>
      <c r="J125" s="114" t="e">
        <f>(K125/#REF!)</f>
        <v>#REF!</v>
      </c>
      <c r="K125" s="115" t="e">
        <f>SUM(K100:K124)</f>
        <v>#REF!</v>
      </c>
      <c r="L125" s="70"/>
      <c r="N125" s="6"/>
    </row>
    <row r="126" spans="1:14" s="103" customFormat="1" ht="16.5" customHeight="1">
      <c r="B126" s="166">
        <v>13</v>
      </c>
      <c r="C126" s="21" t="s">
        <v>49</v>
      </c>
      <c r="D126" s="302"/>
      <c r="E126" s="302"/>
      <c r="F126" s="302"/>
      <c r="G126" s="302"/>
      <c r="H126" s="302"/>
      <c r="I126" s="303"/>
      <c r="J126" s="95"/>
      <c r="K126" s="95"/>
      <c r="L126" s="102"/>
      <c r="N126" s="104"/>
    </row>
    <row r="127" spans="1:14" s="103" customFormat="1" ht="51" customHeight="1">
      <c r="B127" s="289" t="s">
        <v>158</v>
      </c>
      <c r="C127" s="75" t="s">
        <v>157</v>
      </c>
      <c r="D127" s="211" t="s">
        <v>73</v>
      </c>
      <c r="E127" s="209">
        <v>97888</v>
      </c>
      <c r="F127" s="77">
        <v>2</v>
      </c>
      <c r="G127" s="78">
        <v>352.92</v>
      </c>
      <c r="H127" s="240">
        <f t="shared" ref="H127:H147" si="24">TRUNC(G127*(1+$H$15),2)</f>
        <v>450.43</v>
      </c>
      <c r="I127" s="240">
        <f t="shared" ref="I127:I147" si="25">TRUNC(H127*F127,2)</f>
        <v>900.86</v>
      </c>
      <c r="J127" s="116">
        <v>0</v>
      </c>
      <c r="K127" s="117" t="e">
        <f>(J127*#REF!)</f>
        <v>#REF!</v>
      </c>
      <c r="L127" s="95"/>
      <c r="N127" s="104"/>
    </row>
    <row r="128" spans="1:14" s="103" customFormat="1" ht="38.25">
      <c r="B128" s="289" t="s">
        <v>159</v>
      </c>
      <c r="C128" s="75" t="s">
        <v>116</v>
      </c>
      <c r="D128" s="211" t="s">
        <v>52</v>
      </c>
      <c r="E128" s="209">
        <v>91927</v>
      </c>
      <c r="F128" s="77">
        <v>657.25</v>
      </c>
      <c r="G128" s="78">
        <v>3.13</v>
      </c>
      <c r="H128" s="240">
        <f t="shared" si="24"/>
        <v>3.99</v>
      </c>
      <c r="I128" s="240">
        <f t="shared" si="25"/>
        <v>2622.42</v>
      </c>
      <c r="J128" s="116">
        <v>0</v>
      </c>
      <c r="K128" s="117" t="e">
        <f>(J128*#REF!)</f>
        <v>#REF!</v>
      </c>
      <c r="L128" s="95"/>
      <c r="N128" s="104"/>
    </row>
    <row r="129" spans="2:14" s="103" customFormat="1" ht="48" customHeight="1">
      <c r="B129" s="289" t="s">
        <v>219</v>
      </c>
      <c r="C129" s="75" t="s">
        <v>191</v>
      </c>
      <c r="D129" s="211" t="s">
        <v>52</v>
      </c>
      <c r="E129" s="209">
        <v>91929</v>
      </c>
      <c r="F129" s="77">
        <v>29.7</v>
      </c>
      <c r="G129" s="78">
        <v>4.38</v>
      </c>
      <c r="H129" s="240">
        <f t="shared" si="24"/>
        <v>5.59</v>
      </c>
      <c r="I129" s="240">
        <f t="shared" si="25"/>
        <v>166.02</v>
      </c>
      <c r="J129" s="116"/>
      <c r="K129" s="117"/>
      <c r="L129" s="95"/>
      <c r="N129" s="104"/>
    </row>
    <row r="130" spans="2:14" s="103" customFormat="1" ht="42" customHeight="1">
      <c r="B130" s="289" t="s">
        <v>229</v>
      </c>
      <c r="C130" s="75" t="s">
        <v>173</v>
      </c>
      <c r="D130" s="211" t="s">
        <v>73</v>
      </c>
      <c r="E130" s="209">
        <v>91937</v>
      </c>
      <c r="F130" s="77">
        <v>19</v>
      </c>
      <c r="G130" s="78">
        <v>7.56</v>
      </c>
      <c r="H130" s="240">
        <f t="shared" si="24"/>
        <v>9.64</v>
      </c>
      <c r="I130" s="240">
        <f t="shared" si="25"/>
        <v>183.16</v>
      </c>
      <c r="J130" s="116">
        <v>0</v>
      </c>
      <c r="K130" s="117" t="e">
        <f>(J130*#REF!)</f>
        <v>#REF!</v>
      </c>
      <c r="L130" s="95"/>
      <c r="N130" s="104"/>
    </row>
    <row r="131" spans="2:14" s="103" customFormat="1" ht="33.75" customHeight="1">
      <c r="B131" s="289" t="s">
        <v>230</v>
      </c>
      <c r="C131" s="75" t="s">
        <v>85</v>
      </c>
      <c r="D131" s="211" t="s">
        <v>73</v>
      </c>
      <c r="E131" s="209">
        <v>91940</v>
      </c>
      <c r="F131" s="77">
        <v>12</v>
      </c>
      <c r="G131" s="78">
        <v>9.9700000000000006</v>
      </c>
      <c r="H131" s="240">
        <f t="shared" si="24"/>
        <v>12.72</v>
      </c>
      <c r="I131" s="240">
        <f t="shared" si="25"/>
        <v>152.63999999999999</v>
      </c>
      <c r="J131" s="116">
        <v>0</v>
      </c>
      <c r="K131" s="117" t="e">
        <f>(J131*#REF!)</f>
        <v>#REF!</v>
      </c>
      <c r="L131" s="95"/>
      <c r="N131" s="104"/>
    </row>
    <row r="132" spans="2:14" s="103" customFormat="1" ht="48.75" customHeight="1">
      <c r="B132" s="289" t="s">
        <v>231</v>
      </c>
      <c r="C132" s="75" t="s">
        <v>192</v>
      </c>
      <c r="D132" s="211" t="s">
        <v>73</v>
      </c>
      <c r="E132" s="209">
        <v>91941</v>
      </c>
      <c r="F132" s="77">
        <v>17</v>
      </c>
      <c r="G132" s="78">
        <v>6.69</v>
      </c>
      <c r="H132" s="240">
        <f t="shared" si="24"/>
        <v>8.5299999999999994</v>
      </c>
      <c r="I132" s="240">
        <f t="shared" si="25"/>
        <v>145.01</v>
      </c>
      <c r="J132" s="116">
        <v>0</v>
      </c>
      <c r="K132" s="117" t="e">
        <f>(J132*#REF!)</f>
        <v>#REF!</v>
      </c>
      <c r="L132" s="95"/>
      <c r="N132" s="104"/>
    </row>
    <row r="133" spans="2:14" s="103" customFormat="1" ht="51" customHeight="1">
      <c r="B133" s="289" t="s">
        <v>232</v>
      </c>
      <c r="C133" s="75" t="s">
        <v>174</v>
      </c>
      <c r="D133" s="211" t="s">
        <v>73</v>
      </c>
      <c r="E133" s="209">
        <v>91939</v>
      </c>
      <c r="F133" s="77">
        <v>1</v>
      </c>
      <c r="G133" s="78">
        <v>18.72</v>
      </c>
      <c r="H133" s="240">
        <f t="shared" si="24"/>
        <v>23.89</v>
      </c>
      <c r="I133" s="240">
        <f t="shared" si="25"/>
        <v>23.89</v>
      </c>
      <c r="J133" s="116">
        <v>0</v>
      </c>
      <c r="K133" s="117" t="e">
        <f>(J133*#REF!)</f>
        <v>#REF!</v>
      </c>
      <c r="L133" s="95"/>
      <c r="N133" s="104"/>
    </row>
    <row r="134" spans="2:14" s="103" customFormat="1" ht="50.25" customHeight="1">
      <c r="B134" s="289" t="s">
        <v>233</v>
      </c>
      <c r="C134" s="75" t="s">
        <v>194</v>
      </c>
      <c r="D134" s="211" t="s">
        <v>73</v>
      </c>
      <c r="E134" s="209">
        <v>91996</v>
      </c>
      <c r="F134" s="77">
        <v>12</v>
      </c>
      <c r="G134" s="78">
        <v>20.2</v>
      </c>
      <c r="H134" s="240">
        <f t="shared" si="24"/>
        <v>25.78</v>
      </c>
      <c r="I134" s="240">
        <f t="shared" si="25"/>
        <v>309.36</v>
      </c>
      <c r="J134" s="116">
        <v>0</v>
      </c>
      <c r="K134" s="117" t="e">
        <f>(J134*#REF!)</f>
        <v>#REF!</v>
      </c>
      <c r="L134" s="95"/>
      <c r="N134" s="104"/>
    </row>
    <row r="135" spans="2:14" s="103" customFormat="1" ht="50.25" customHeight="1">
      <c r="B135" s="289" t="s">
        <v>234</v>
      </c>
      <c r="C135" s="75" t="s">
        <v>193</v>
      </c>
      <c r="D135" s="211" t="s">
        <v>73</v>
      </c>
      <c r="E135" s="209">
        <v>92000</v>
      </c>
      <c r="F135" s="77">
        <v>17</v>
      </c>
      <c r="G135" s="78">
        <v>17.850000000000001</v>
      </c>
      <c r="H135" s="240">
        <f t="shared" si="24"/>
        <v>22.78</v>
      </c>
      <c r="I135" s="240">
        <f t="shared" si="25"/>
        <v>387.26</v>
      </c>
      <c r="J135" s="116">
        <v>0</v>
      </c>
      <c r="K135" s="117" t="e">
        <f>(J135*#REF!)</f>
        <v>#REF!</v>
      </c>
      <c r="L135" s="95"/>
      <c r="N135" s="104"/>
    </row>
    <row r="136" spans="2:14" s="103" customFormat="1" ht="50.25" customHeight="1">
      <c r="B136" s="289" t="s">
        <v>235</v>
      </c>
      <c r="C136" s="75" t="s">
        <v>197</v>
      </c>
      <c r="D136" s="211" t="s">
        <v>73</v>
      </c>
      <c r="E136" s="160" t="s">
        <v>196</v>
      </c>
      <c r="F136" s="77">
        <v>1</v>
      </c>
      <c r="G136" s="78">
        <v>4.45</v>
      </c>
      <c r="H136" s="240">
        <f t="shared" si="24"/>
        <v>5.67</v>
      </c>
      <c r="I136" s="240">
        <f t="shared" si="25"/>
        <v>5.67</v>
      </c>
      <c r="J136" s="116">
        <v>0</v>
      </c>
      <c r="K136" s="117" t="e">
        <f>(J136*#REF!)</f>
        <v>#REF!</v>
      </c>
      <c r="L136" s="95"/>
      <c r="N136" s="104"/>
    </row>
    <row r="137" spans="2:14" s="103" customFormat="1" ht="45" customHeight="1">
      <c r="B137" s="289" t="s">
        <v>236</v>
      </c>
      <c r="C137" s="75" t="s">
        <v>195</v>
      </c>
      <c r="D137" s="211" t="s">
        <v>73</v>
      </c>
      <c r="E137" s="209">
        <v>91953</v>
      </c>
      <c r="F137" s="77">
        <v>8</v>
      </c>
      <c r="G137" s="78">
        <v>16.91</v>
      </c>
      <c r="H137" s="240">
        <f t="shared" si="24"/>
        <v>21.58</v>
      </c>
      <c r="I137" s="240">
        <f t="shared" si="25"/>
        <v>172.64</v>
      </c>
      <c r="J137" s="116">
        <v>0</v>
      </c>
      <c r="K137" s="117" t="e">
        <f>(J137*#REF!)</f>
        <v>#REF!</v>
      </c>
      <c r="L137" s="95"/>
      <c r="N137" s="104"/>
    </row>
    <row r="138" spans="2:14" s="103" customFormat="1" ht="45" customHeight="1">
      <c r="B138" s="289" t="s">
        <v>237</v>
      </c>
      <c r="C138" s="276" t="s">
        <v>86</v>
      </c>
      <c r="D138" s="293" t="s">
        <v>73</v>
      </c>
      <c r="E138" s="277">
        <v>91959</v>
      </c>
      <c r="F138" s="271">
        <v>1</v>
      </c>
      <c r="G138" s="241">
        <v>26.74</v>
      </c>
      <c r="H138" s="240">
        <f t="shared" si="24"/>
        <v>34.119999999999997</v>
      </c>
      <c r="I138" s="240">
        <f t="shared" si="25"/>
        <v>34.119999999999997</v>
      </c>
      <c r="J138" s="116">
        <v>0</v>
      </c>
      <c r="K138" s="117" t="e">
        <f>(J138*#REF!)</f>
        <v>#REF!</v>
      </c>
      <c r="L138" s="95"/>
      <c r="N138" s="104"/>
    </row>
    <row r="139" spans="2:14" s="103" customFormat="1" ht="25.5">
      <c r="B139" s="289" t="s">
        <v>238</v>
      </c>
      <c r="C139" s="281" t="s">
        <v>286</v>
      </c>
      <c r="D139" s="291" t="s">
        <v>2</v>
      </c>
      <c r="E139" s="277">
        <v>93667</v>
      </c>
      <c r="F139" s="271">
        <v>4</v>
      </c>
      <c r="G139" s="241">
        <v>49.39</v>
      </c>
      <c r="H139" s="240">
        <f t="shared" si="24"/>
        <v>63.03</v>
      </c>
      <c r="I139" s="240">
        <f t="shared" si="25"/>
        <v>252.12</v>
      </c>
      <c r="J139" s="116"/>
      <c r="K139" s="117"/>
      <c r="L139" s="95"/>
      <c r="N139" s="104"/>
    </row>
    <row r="140" spans="2:14" s="103" customFormat="1" ht="36.75" customHeight="1">
      <c r="B140" s="289" t="s">
        <v>239</v>
      </c>
      <c r="C140" s="276" t="s">
        <v>156</v>
      </c>
      <c r="D140" s="293" t="s">
        <v>73</v>
      </c>
      <c r="E140" s="277">
        <v>93653</v>
      </c>
      <c r="F140" s="271">
        <v>3</v>
      </c>
      <c r="G140" s="241">
        <v>7.97</v>
      </c>
      <c r="H140" s="240">
        <f t="shared" si="24"/>
        <v>10.17</v>
      </c>
      <c r="I140" s="240">
        <f t="shared" si="25"/>
        <v>30.51</v>
      </c>
      <c r="J140" s="116">
        <v>0</v>
      </c>
      <c r="K140" s="117" t="e">
        <f>(J140*#REF!)</f>
        <v>#REF!</v>
      </c>
      <c r="L140" s="95"/>
      <c r="N140" s="104"/>
    </row>
    <row r="141" spans="2:14" s="103" customFormat="1" ht="45.75" customHeight="1">
      <c r="B141" s="289" t="s">
        <v>240</v>
      </c>
      <c r="C141" s="281" t="s">
        <v>287</v>
      </c>
      <c r="D141" s="293" t="s">
        <v>73</v>
      </c>
      <c r="E141" s="277">
        <v>93663</v>
      </c>
      <c r="F141" s="271">
        <v>1</v>
      </c>
      <c r="G141" s="241">
        <v>41.9</v>
      </c>
      <c r="H141" s="240">
        <f t="shared" si="24"/>
        <v>53.47</v>
      </c>
      <c r="I141" s="240">
        <f t="shared" si="25"/>
        <v>53.47</v>
      </c>
      <c r="J141" s="116">
        <v>0</v>
      </c>
      <c r="K141" s="117" t="e">
        <f>(J141*#REF!)</f>
        <v>#REF!</v>
      </c>
      <c r="L141" s="95"/>
      <c r="N141" s="104"/>
    </row>
    <row r="142" spans="2:14" s="15" customFormat="1" ht="25.5">
      <c r="B142" s="289" t="s">
        <v>241</v>
      </c>
      <c r="C142" s="75" t="s">
        <v>206</v>
      </c>
      <c r="D142" s="211" t="s">
        <v>73</v>
      </c>
      <c r="E142" s="160" t="s">
        <v>161</v>
      </c>
      <c r="F142" s="77">
        <v>4</v>
      </c>
      <c r="G142" s="78">
        <v>57.06</v>
      </c>
      <c r="H142" s="240">
        <f t="shared" si="24"/>
        <v>72.819999999999993</v>
      </c>
      <c r="I142" s="240">
        <f t="shared" si="25"/>
        <v>291.27999999999997</v>
      </c>
      <c r="J142" s="119"/>
      <c r="K142" s="120"/>
      <c r="L142" s="83"/>
      <c r="N142" s="16"/>
    </row>
    <row r="143" spans="2:14" s="15" customFormat="1" ht="25.5">
      <c r="B143" s="289" t="s">
        <v>242</v>
      </c>
      <c r="C143" s="239" t="s">
        <v>289</v>
      </c>
      <c r="D143" s="211" t="s">
        <v>73</v>
      </c>
      <c r="E143" s="160" t="s">
        <v>208</v>
      </c>
      <c r="F143" s="77">
        <v>1</v>
      </c>
      <c r="G143" s="78">
        <v>134.52000000000001</v>
      </c>
      <c r="H143" s="240">
        <f t="shared" si="24"/>
        <v>171.68</v>
      </c>
      <c r="I143" s="240">
        <f t="shared" si="25"/>
        <v>171.68</v>
      </c>
      <c r="J143" s="224">
        <v>0</v>
      </c>
      <c r="K143" s="225" t="e">
        <f>(J143*#REF!)</f>
        <v>#REF!</v>
      </c>
      <c r="L143" s="76"/>
      <c r="N143" s="16"/>
    </row>
    <row r="144" spans="2:14" s="103" customFormat="1" ht="49.5" customHeight="1">
      <c r="B144" s="289" t="s">
        <v>243</v>
      </c>
      <c r="C144" s="75" t="s">
        <v>175</v>
      </c>
      <c r="D144" s="211" t="s">
        <v>52</v>
      </c>
      <c r="E144" s="209">
        <v>91854</v>
      </c>
      <c r="F144" s="77">
        <v>201.3</v>
      </c>
      <c r="G144" s="78">
        <v>5.77</v>
      </c>
      <c r="H144" s="240">
        <f t="shared" si="24"/>
        <v>7.36</v>
      </c>
      <c r="I144" s="240">
        <f t="shared" si="25"/>
        <v>1481.56</v>
      </c>
      <c r="J144" s="116">
        <v>0</v>
      </c>
      <c r="K144" s="117" t="e">
        <f>(J144*#REF!)</f>
        <v>#REF!</v>
      </c>
      <c r="L144" s="95"/>
      <c r="N144" s="104"/>
    </row>
    <row r="145" spans="2:14" s="103" customFormat="1" ht="45.75" customHeight="1">
      <c r="B145" s="289" t="s">
        <v>244</v>
      </c>
      <c r="C145" s="75" t="s">
        <v>117</v>
      </c>
      <c r="D145" s="211" t="s">
        <v>52</v>
      </c>
      <c r="E145" s="209" t="s">
        <v>118</v>
      </c>
      <c r="F145" s="77">
        <v>10</v>
      </c>
      <c r="G145" s="78">
        <v>20.16</v>
      </c>
      <c r="H145" s="240">
        <f t="shared" si="24"/>
        <v>25.73</v>
      </c>
      <c r="I145" s="240">
        <f t="shared" si="25"/>
        <v>257.3</v>
      </c>
      <c r="J145" s="116"/>
      <c r="K145" s="117"/>
      <c r="L145" s="95"/>
      <c r="N145" s="104"/>
    </row>
    <row r="146" spans="2:14" s="103" customFormat="1" ht="38.25" customHeight="1">
      <c r="B146" s="289" t="s">
        <v>245</v>
      </c>
      <c r="C146" s="75" t="s">
        <v>198</v>
      </c>
      <c r="D146" s="211" t="s">
        <v>73</v>
      </c>
      <c r="E146" s="160">
        <v>97592</v>
      </c>
      <c r="F146" s="77">
        <v>19</v>
      </c>
      <c r="G146" s="78">
        <v>86.9</v>
      </c>
      <c r="H146" s="240">
        <f t="shared" si="24"/>
        <v>110.91</v>
      </c>
      <c r="I146" s="240">
        <f t="shared" si="25"/>
        <v>2107.29</v>
      </c>
      <c r="J146" s="116"/>
      <c r="K146" s="117"/>
      <c r="L146" s="95"/>
      <c r="N146" s="104"/>
    </row>
    <row r="147" spans="2:14" s="103" customFormat="1" ht="60" customHeight="1">
      <c r="B147" s="289" t="s">
        <v>246</v>
      </c>
      <c r="C147" s="239" t="s">
        <v>291</v>
      </c>
      <c r="D147" s="211" t="s">
        <v>73</v>
      </c>
      <c r="E147" s="160" t="s">
        <v>290</v>
      </c>
      <c r="F147" s="77">
        <v>1</v>
      </c>
      <c r="G147" s="78">
        <v>957.49</v>
      </c>
      <c r="H147" s="240">
        <f t="shared" si="24"/>
        <v>1222.04</v>
      </c>
      <c r="I147" s="240">
        <f t="shared" si="25"/>
        <v>1222.04</v>
      </c>
      <c r="J147" s="116">
        <v>0</v>
      </c>
      <c r="K147" s="117" t="e">
        <f>(J147*#REF!)</f>
        <v>#REF!</v>
      </c>
      <c r="L147" s="95"/>
      <c r="N147" s="104"/>
    </row>
    <row r="148" spans="2:14" s="1" customFormat="1" ht="12.75" customHeight="1">
      <c r="B148" s="306" t="s">
        <v>6</v>
      </c>
      <c r="C148" s="307"/>
      <c r="D148" s="307"/>
      <c r="E148" s="307"/>
      <c r="F148" s="333"/>
      <c r="G148" s="308">
        <f>(100%)</f>
        <v>1</v>
      </c>
      <c r="H148" s="309"/>
      <c r="I148" s="168">
        <f>SUM(I127:I147)</f>
        <v>10970.3</v>
      </c>
      <c r="J148" s="114" t="e">
        <f>(K148/#REF!)</f>
        <v>#REF!</v>
      </c>
      <c r="K148" s="115" t="e">
        <f>SUM(K128:K147)</f>
        <v>#REF!</v>
      </c>
      <c r="L148" s="70"/>
      <c r="N148" s="6"/>
    </row>
    <row r="149" spans="2:14">
      <c r="B149" s="166">
        <v>14</v>
      </c>
      <c r="C149" s="218" t="s">
        <v>163</v>
      </c>
      <c r="D149" s="377"/>
      <c r="E149" s="302"/>
      <c r="F149" s="302"/>
      <c r="G149" s="302"/>
      <c r="H149" s="302"/>
      <c r="I149" s="303"/>
      <c r="J149" s="76"/>
      <c r="K149" s="76"/>
      <c r="L149" s="72"/>
    </row>
    <row r="150" spans="2:14" s="103" customFormat="1" ht="18.75" customHeight="1">
      <c r="B150" s="289" t="s">
        <v>176</v>
      </c>
      <c r="C150" s="75" t="s">
        <v>29</v>
      </c>
      <c r="D150" s="211" t="s">
        <v>87</v>
      </c>
      <c r="E150" s="209">
        <v>9537</v>
      </c>
      <c r="F150" s="77">
        <v>74.48</v>
      </c>
      <c r="G150" s="78">
        <v>2.13</v>
      </c>
      <c r="H150" s="240">
        <f t="shared" ref="H150" si="26">TRUNC(G150*(1+$H$15),2)</f>
        <v>2.71</v>
      </c>
      <c r="I150" s="240">
        <f t="shared" ref="I150" si="27">TRUNC(H150*F150,2)</f>
        <v>201.84</v>
      </c>
      <c r="J150" s="116">
        <v>0</v>
      </c>
      <c r="K150" s="117" t="e">
        <f>(J150*#REF!)</f>
        <v>#REF!</v>
      </c>
      <c r="L150" s="95"/>
      <c r="N150" s="104"/>
    </row>
    <row r="151" spans="2:14" s="1" customFormat="1" ht="12.75" customHeight="1" thickBot="1">
      <c r="B151" s="369" t="s">
        <v>6</v>
      </c>
      <c r="C151" s="370"/>
      <c r="D151" s="370"/>
      <c r="E151" s="370"/>
      <c r="F151" s="371"/>
      <c r="G151" s="372">
        <f>(100%)</f>
        <v>1</v>
      </c>
      <c r="H151" s="373"/>
      <c r="I151" s="226">
        <f>SUM(I150:I150)</f>
        <v>201.84</v>
      </c>
      <c r="J151" s="114" t="e">
        <f>(K151/#REF!)</f>
        <v>#REF!</v>
      </c>
      <c r="K151" s="115" t="e">
        <f>SUM(K150:K150)</f>
        <v>#REF!</v>
      </c>
      <c r="L151" s="70"/>
      <c r="N151" s="6"/>
    </row>
    <row r="152" spans="2:14" ht="15.75" customHeight="1" thickBot="1">
      <c r="B152" s="374" t="s">
        <v>88</v>
      </c>
      <c r="C152" s="375"/>
      <c r="D152" s="375"/>
      <c r="E152" s="375"/>
      <c r="F152" s="375"/>
      <c r="G152" s="375"/>
      <c r="H152" s="376"/>
      <c r="I152" s="227">
        <f>SUM(I19:I151)/2</f>
        <v>185136.00999999992</v>
      </c>
      <c r="J152" s="121"/>
      <c r="K152" s="121" t="s">
        <v>32</v>
      </c>
      <c r="L152" s="73"/>
    </row>
    <row r="153" spans="2:14" ht="19.5" customHeight="1">
      <c r="B153" s="366" t="s">
        <v>350</v>
      </c>
      <c r="C153" s="367"/>
      <c r="D153" s="367"/>
      <c r="E153" s="367"/>
      <c r="F153" s="367"/>
      <c r="G153" s="367"/>
      <c r="H153" s="367"/>
      <c r="I153" s="368"/>
      <c r="J153" s="122"/>
      <c r="K153" s="122"/>
      <c r="L153" s="74"/>
    </row>
    <row r="154" spans="2:14" ht="30" customHeight="1">
      <c r="B154" s="298" t="s">
        <v>302</v>
      </c>
      <c r="C154" s="299"/>
      <c r="D154" s="299"/>
      <c r="E154" s="299"/>
      <c r="F154" s="299"/>
      <c r="G154" s="299"/>
      <c r="H154" s="299"/>
      <c r="I154" s="300"/>
      <c r="J154" s="105"/>
      <c r="K154" s="105"/>
      <c r="L154" s="105"/>
    </row>
    <row r="155" spans="2:14" ht="5.25" customHeight="1">
      <c r="B155" s="12"/>
      <c r="C155" s="12"/>
      <c r="D155" s="13"/>
      <c r="E155" s="14"/>
      <c r="F155" s="14"/>
      <c r="G155" s="11"/>
      <c r="H155" s="12"/>
      <c r="I155" s="12"/>
      <c r="J155" s="12"/>
      <c r="K155" s="12"/>
      <c r="L155" s="12"/>
    </row>
    <row r="156" spans="2:14">
      <c r="B156" s="12"/>
      <c r="C156" s="12"/>
      <c r="D156" s="13"/>
      <c r="E156" s="14"/>
      <c r="F156" s="14"/>
      <c r="G156" s="11"/>
      <c r="H156" s="12"/>
      <c r="I156" s="12"/>
      <c r="J156" s="12"/>
      <c r="K156" s="12"/>
      <c r="L156" s="12"/>
    </row>
    <row r="157" spans="2:14">
      <c r="B157" s="12"/>
      <c r="C157" s="12"/>
      <c r="D157" s="13"/>
      <c r="E157" s="14"/>
      <c r="F157" s="14"/>
      <c r="G157" s="11"/>
      <c r="H157" s="12"/>
      <c r="I157" s="12"/>
      <c r="J157" s="12"/>
      <c r="K157" s="12"/>
      <c r="L157" s="12"/>
    </row>
    <row r="158" spans="2:14">
      <c r="B158" s="12"/>
      <c r="C158" s="12"/>
      <c r="D158" s="13"/>
      <c r="E158" s="14"/>
      <c r="F158" s="14"/>
      <c r="G158" s="11"/>
      <c r="H158" s="12"/>
      <c r="I158" s="12"/>
      <c r="J158" s="12"/>
      <c r="K158" s="12"/>
      <c r="L158" s="12"/>
    </row>
    <row r="159" spans="2:14">
      <c r="B159" s="12"/>
      <c r="C159" s="12"/>
      <c r="D159" s="13"/>
      <c r="E159" s="14"/>
      <c r="F159" s="14"/>
      <c r="G159" s="11"/>
      <c r="H159" s="12"/>
      <c r="I159" s="12"/>
      <c r="J159" s="12"/>
      <c r="K159" s="12"/>
      <c r="L159" s="12"/>
    </row>
    <row r="160" spans="2:14">
      <c r="B160" s="12"/>
      <c r="C160" s="12"/>
      <c r="D160" s="13"/>
      <c r="E160" s="14"/>
      <c r="F160" s="14"/>
      <c r="G160" s="11"/>
      <c r="H160" s="12"/>
      <c r="I160" s="12"/>
      <c r="J160" s="12"/>
      <c r="K160" s="12"/>
      <c r="L160" s="12"/>
    </row>
    <row r="161" spans="2:12">
      <c r="B161" s="12"/>
      <c r="C161" s="12"/>
      <c r="D161" s="13"/>
      <c r="E161" s="14"/>
      <c r="F161" s="14"/>
      <c r="G161" s="11"/>
      <c r="H161" s="12"/>
      <c r="I161" s="12"/>
      <c r="J161" s="12"/>
      <c r="K161" s="12"/>
      <c r="L161" s="12"/>
    </row>
    <row r="162" spans="2:12">
      <c r="B162" s="12"/>
      <c r="C162" s="12"/>
      <c r="D162" s="13"/>
      <c r="E162" s="14"/>
      <c r="F162" s="14"/>
      <c r="G162" s="11"/>
      <c r="H162" s="12"/>
      <c r="I162" s="12"/>
      <c r="J162" s="12"/>
      <c r="K162" s="12"/>
      <c r="L162" s="12"/>
    </row>
    <row r="163" spans="2:12">
      <c r="B163" s="12"/>
      <c r="C163" s="12"/>
      <c r="D163" s="13"/>
      <c r="E163" s="14"/>
      <c r="F163" s="14"/>
      <c r="G163" s="11"/>
      <c r="H163" s="12"/>
      <c r="I163" s="12"/>
      <c r="J163" s="12"/>
      <c r="K163" s="12"/>
      <c r="L163" s="12"/>
    </row>
    <row r="164" spans="2:12">
      <c r="B164" s="12"/>
      <c r="C164" s="12"/>
      <c r="D164" s="13"/>
      <c r="E164" s="14"/>
      <c r="F164" s="14"/>
      <c r="G164" s="11"/>
      <c r="H164" s="12"/>
      <c r="I164" s="12"/>
    </row>
  </sheetData>
  <mergeCells count="75">
    <mergeCell ref="D87:I87"/>
    <mergeCell ref="D126:I126"/>
    <mergeCell ref="B105:C105"/>
    <mergeCell ref="B125:F125"/>
    <mergeCell ref="G125:H125"/>
    <mergeCell ref="B88:C88"/>
    <mergeCell ref="B153:I153"/>
    <mergeCell ref="B151:F151"/>
    <mergeCell ref="G151:H151"/>
    <mergeCell ref="B152:H152"/>
    <mergeCell ref="B148:F148"/>
    <mergeCell ref="G148:H148"/>
    <mergeCell ref="D149:I149"/>
    <mergeCell ref="B86:F86"/>
    <mergeCell ref="G79:H79"/>
    <mergeCell ref="G73:H73"/>
    <mergeCell ref="G86:H86"/>
    <mergeCell ref="D80:I80"/>
    <mergeCell ref="B79:F79"/>
    <mergeCell ref="D70:I70"/>
    <mergeCell ref="B2:I2"/>
    <mergeCell ref="D23:I23"/>
    <mergeCell ref="B11:I11"/>
    <mergeCell ref="B12:B14"/>
    <mergeCell ref="G12:I13"/>
    <mergeCell ref="B5:I5"/>
    <mergeCell ref="B6:I6"/>
    <mergeCell ref="B52:F52"/>
    <mergeCell ref="G22:H22"/>
    <mergeCell ref="B22:F22"/>
    <mergeCell ref="B27:F27"/>
    <mergeCell ref="D28:I28"/>
    <mergeCell ref="B57:F57"/>
    <mergeCell ref="G63:H63"/>
    <mergeCell ref="D58:I58"/>
    <mergeCell ref="J13:K13"/>
    <mergeCell ref="J15:K15"/>
    <mergeCell ref="B3:I3"/>
    <mergeCell ref="B7:G7"/>
    <mergeCell ref="H7:I7"/>
    <mergeCell ref="J7:K7"/>
    <mergeCell ref="F12:F14"/>
    <mergeCell ref="D12:D14"/>
    <mergeCell ref="G69:H69"/>
    <mergeCell ref="N18:P18"/>
    <mergeCell ref="J18:K18"/>
    <mergeCell ref="J8:K8"/>
    <mergeCell ref="B9:I9"/>
    <mergeCell ref="B8:I8"/>
    <mergeCell ref="J10:K10"/>
    <mergeCell ref="B10:G10"/>
    <mergeCell ref="H10:I10"/>
    <mergeCell ref="E12:E14"/>
    <mergeCell ref="N15:P15"/>
    <mergeCell ref="N16:P16"/>
    <mergeCell ref="B17:F17"/>
    <mergeCell ref="G17:H17"/>
    <mergeCell ref="J12:K12"/>
    <mergeCell ref="C12:C14"/>
    <mergeCell ref="B154:I154"/>
    <mergeCell ref="N19:P19"/>
    <mergeCell ref="D53:I53"/>
    <mergeCell ref="G27:H27"/>
    <mergeCell ref="B73:F73"/>
    <mergeCell ref="B63:F63"/>
    <mergeCell ref="D64:I64"/>
    <mergeCell ref="B69:F69"/>
    <mergeCell ref="G57:H57"/>
    <mergeCell ref="G52:H52"/>
    <mergeCell ref="D50:I50"/>
    <mergeCell ref="G37:H37"/>
    <mergeCell ref="B37:F37"/>
    <mergeCell ref="D38:I38"/>
    <mergeCell ref="G49:H49"/>
    <mergeCell ref="B49:F49"/>
  </mergeCells>
  <phoneticPr fontId="0" type="noConversion"/>
  <printOptions horizontalCentered="1"/>
  <pageMargins left="0.78740157480314965" right="0" top="0.78740157480314965" bottom="0.59055118110236227" header="0.27559055118110237" footer="0.31496062992125984"/>
  <pageSetup paperSize="9" scale="70" orientation="portrait" r:id="rId1"/>
  <headerFooter alignWithMargins="0">
    <oddFooter>&amp;LSanto Antonio do Leste&amp;C02  de outubro de 2018&amp;RMato Grosso, Brasil</oddFooter>
  </headerFooter>
  <rowBreaks count="1" manualBreakCount="1">
    <brk id="125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6"/>
  <sheetViews>
    <sheetView showGridLines="0" workbookViewId="0">
      <selection activeCell="I4" sqref="I4"/>
    </sheetView>
  </sheetViews>
  <sheetFormatPr defaultColWidth="11.42578125" defaultRowHeight="12.75"/>
  <cols>
    <col min="1" max="1" width="0.7109375" style="10" customWidth="1"/>
    <col min="2" max="2" width="10.140625" style="10" customWidth="1"/>
    <col min="3" max="3" width="45.140625" style="10" customWidth="1"/>
    <col min="4" max="4" width="7.85546875" style="10" customWidth="1"/>
    <col min="5" max="5" width="20.85546875" style="10" customWidth="1"/>
    <col min="6" max="6" width="0.7109375" style="10" customWidth="1"/>
    <col min="7" max="16384" width="11.42578125" style="10"/>
  </cols>
  <sheetData>
    <row r="1" spans="1:6" ht="33" customHeight="1" thickBot="1"/>
    <row r="2" spans="1:6" ht="5.25" customHeight="1">
      <c r="A2" s="25"/>
      <c r="B2" s="194"/>
      <c r="C2" s="188"/>
      <c r="D2" s="188"/>
      <c r="E2" s="197"/>
      <c r="F2" s="25"/>
    </row>
    <row r="3" spans="1:6" ht="24" customHeight="1">
      <c r="A3" s="25"/>
      <c r="B3" s="401" t="s">
        <v>18</v>
      </c>
      <c r="C3" s="402"/>
      <c r="D3" s="402"/>
      <c r="E3" s="403"/>
      <c r="F3" s="25"/>
    </row>
    <row r="4" spans="1:6" ht="33.75" customHeight="1">
      <c r="A4" s="25"/>
      <c r="B4" s="404" t="str">
        <f>ORCAMENTO!B5:I5</f>
        <v>REGULARIZAÇÃO E REFORMA DO CENTRO MUNICIPAL DE SAÚDE - ANEXO LAVANDERIA</v>
      </c>
      <c r="C4" s="405"/>
      <c r="D4" s="405"/>
      <c r="E4" s="406"/>
      <c r="F4" s="25"/>
    </row>
    <row r="5" spans="1:6" ht="24" customHeight="1" thickBot="1">
      <c r="A5" s="25"/>
      <c r="B5" s="394" t="str">
        <f>ORCAMENTO!B6:I6</f>
        <v xml:space="preserve"> Local da Obra: Rua das Flores, Quadra 54, Jardim Novo Campo                                                                                                                                          Coordenadas Geograficas da Obra: Latitude 14°49'09"S - Longitude 53°37'09"O</v>
      </c>
      <c r="C5" s="395"/>
      <c r="D5" s="395"/>
      <c r="E5" s="396"/>
      <c r="F5" s="25"/>
    </row>
    <row r="6" spans="1:6" ht="21" customHeight="1" thickBot="1">
      <c r="A6" s="25"/>
      <c r="B6" s="397" t="str">
        <f>ORCAMENTO!H10</f>
        <v>DATA:02/10/2018</v>
      </c>
      <c r="C6" s="398"/>
      <c r="D6" s="198"/>
      <c r="E6" s="199" t="str">
        <f>ORCAMENTO!H7</f>
        <v>B.D.I: 27,63%</v>
      </c>
      <c r="F6" s="193"/>
    </row>
    <row r="7" spans="1:6" ht="6.75" customHeight="1">
      <c r="A7" s="25"/>
      <c r="B7" s="196"/>
      <c r="C7" s="189"/>
      <c r="D7" s="189"/>
      <c r="E7" s="189"/>
      <c r="F7" s="25"/>
    </row>
    <row r="8" spans="1:6">
      <c r="A8" s="25"/>
      <c r="B8" s="407" t="s">
        <v>19</v>
      </c>
      <c r="C8" s="407" t="s">
        <v>7</v>
      </c>
      <c r="D8" s="407" t="s">
        <v>8</v>
      </c>
      <c r="E8" s="200" t="s">
        <v>9</v>
      </c>
      <c r="F8" s="25"/>
    </row>
    <row r="9" spans="1:6">
      <c r="A9" s="25"/>
      <c r="B9" s="407"/>
      <c r="C9" s="407"/>
      <c r="D9" s="407"/>
      <c r="E9" s="200" t="s">
        <v>10</v>
      </c>
      <c r="F9" s="25"/>
    </row>
    <row r="10" spans="1:6" hidden="1">
      <c r="A10" s="25"/>
      <c r="B10" s="382">
        <v>1</v>
      </c>
      <c r="C10" s="383" t="s">
        <v>94</v>
      </c>
      <c r="D10" s="399">
        <f>(E10/E49)</f>
        <v>0</v>
      </c>
      <c r="E10" s="400">
        <f>ORCAMENTO!I17</f>
        <v>0</v>
      </c>
      <c r="F10" s="25"/>
    </row>
    <row r="11" spans="1:6" hidden="1">
      <c r="A11" s="25"/>
      <c r="B11" s="382"/>
      <c r="C11" s="383"/>
      <c r="D11" s="399"/>
      <c r="E11" s="400"/>
      <c r="F11" s="25"/>
    </row>
    <row r="12" spans="1:6">
      <c r="A12" s="25"/>
      <c r="B12" s="382">
        <v>1</v>
      </c>
      <c r="C12" s="383" t="s">
        <v>20</v>
      </c>
      <c r="D12" s="384">
        <f>E12/$E$49</f>
        <v>2.5953675894819173E-2</v>
      </c>
      <c r="E12" s="393">
        <f>ORCAMENTO!I22</f>
        <v>4804.96</v>
      </c>
      <c r="F12" s="25"/>
    </row>
    <row r="13" spans="1:6">
      <c r="A13" s="25"/>
      <c r="B13" s="382"/>
      <c r="C13" s="383"/>
      <c r="D13" s="384"/>
      <c r="E13" s="393"/>
      <c r="F13" s="25"/>
    </row>
    <row r="14" spans="1:6" ht="5.25" hidden="1" customHeight="1">
      <c r="A14" s="25"/>
      <c r="B14" s="382"/>
      <c r="C14" s="383"/>
      <c r="D14" s="384"/>
      <c r="E14" s="393"/>
      <c r="F14" s="25"/>
    </row>
    <row r="15" spans="1:6">
      <c r="A15" s="25"/>
      <c r="B15" s="382">
        <v>2</v>
      </c>
      <c r="C15" s="383" t="s">
        <v>21</v>
      </c>
      <c r="D15" s="384">
        <f>E15/$E$49</f>
        <v>9.9310231434716571E-3</v>
      </c>
      <c r="E15" s="381">
        <f>ORCAMENTO!I27</f>
        <v>1838.5899999999997</v>
      </c>
      <c r="F15" s="25"/>
    </row>
    <row r="16" spans="1:6">
      <c r="A16" s="25"/>
      <c r="B16" s="382"/>
      <c r="C16" s="383"/>
      <c r="D16" s="384"/>
      <c r="E16" s="381"/>
      <c r="F16" s="25"/>
    </row>
    <row r="17" spans="1:9">
      <c r="A17" s="25"/>
      <c r="B17" s="382">
        <v>3</v>
      </c>
      <c r="C17" s="383" t="s">
        <v>75</v>
      </c>
      <c r="D17" s="384">
        <f>E17/$E$49</f>
        <v>7.590830114573606E-2</v>
      </c>
      <c r="E17" s="381">
        <f>ORCAMENTO!I37</f>
        <v>14053.359999999999</v>
      </c>
      <c r="F17" s="25"/>
    </row>
    <row r="18" spans="1:9">
      <c r="A18" s="25"/>
      <c r="B18" s="382"/>
      <c r="C18" s="383"/>
      <c r="D18" s="384"/>
      <c r="E18" s="381"/>
      <c r="F18" s="25"/>
    </row>
    <row r="19" spans="1:9" ht="3.75" customHeight="1">
      <c r="A19" s="25"/>
      <c r="B19" s="382"/>
      <c r="C19" s="383"/>
      <c r="D19" s="384"/>
      <c r="E19" s="381"/>
      <c r="F19" s="25"/>
    </row>
    <row r="20" spans="1:9">
      <c r="A20" s="25"/>
      <c r="B20" s="382">
        <v>4</v>
      </c>
      <c r="C20" s="386" t="s">
        <v>26</v>
      </c>
      <c r="D20" s="384">
        <f>E20/$E$49</f>
        <v>0.14260224145480938</v>
      </c>
      <c r="E20" s="381">
        <f>ORCAMENTO!I49</f>
        <v>26400.809999999998</v>
      </c>
      <c r="F20" s="25"/>
    </row>
    <row r="21" spans="1:9">
      <c r="A21" s="25"/>
      <c r="B21" s="382"/>
      <c r="C21" s="386"/>
      <c r="D21" s="384"/>
      <c r="E21" s="381"/>
      <c r="F21" s="25"/>
      <c r="I21" s="59"/>
    </row>
    <row r="22" spans="1:9" ht="4.5" customHeight="1">
      <c r="A22" s="25"/>
      <c r="B22" s="382"/>
      <c r="C22" s="386"/>
      <c r="D22" s="384"/>
      <c r="E22" s="381"/>
      <c r="F22" s="25"/>
    </row>
    <row r="23" spans="1:9" ht="13.5" customHeight="1">
      <c r="A23" s="25"/>
      <c r="B23" s="382">
        <v>5</v>
      </c>
      <c r="C23" s="383" t="s">
        <v>76</v>
      </c>
      <c r="D23" s="384">
        <f>E23/$E$49</f>
        <v>3.2747275908128308E-3</v>
      </c>
      <c r="E23" s="381">
        <f>ORCAMENTO!I52</f>
        <v>606.27</v>
      </c>
      <c r="F23" s="25"/>
    </row>
    <row r="24" spans="1:9">
      <c r="A24" s="25"/>
      <c r="B24" s="382"/>
      <c r="C24" s="383"/>
      <c r="D24" s="384"/>
      <c r="E24" s="381"/>
      <c r="F24" s="25"/>
    </row>
    <row r="25" spans="1:9" ht="5.25" customHeight="1">
      <c r="A25" s="25"/>
      <c r="B25" s="382"/>
      <c r="C25" s="383"/>
      <c r="D25" s="384"/>
      <c r="E25" s="381"/>
      <c r="F25" s="25"/>
    </row>
    <row r="26" spans="1:9">
      <c r="A26" s="25"/>
      <c r="B26" s="385">
        <v>6</v>
      </c>
      <c r="C26" s="386" t="s">
        <v>77</v>
      </c>
      <c r="D26" s="384">
        <f>E26/$E$49</f>
        <v>0.17448123679450586</v>
      </c>
      <c r="E26" s="381">
        <f>(ORCAMENTO!I57)</f>
        <v>32302.76</v>
      </c>
      <c r="F26" s="25"/>
    </row>
    <row r="27" spans="1:9">
      <c r="A27" s="25"/>
      <c r="B27" s="385"/>
      <c r="C27" s="386"/>
      <c r="D27" s="384"/>
      <c r="E27" s="381"/>
      <c r="F27" s="25"/>
    </row>
    <row r="28" spans="1:9" ht="6" customHeight="1">
      <c r="A28" s="25"/>
      <c r="B28" s="385"/>
      <c r="C28" s="386"/>
      <c r="D28" s="384"/>
      <c r="E28" s="381"/>
      <c r="F28" s="25"/>
    </row>
    <row r="29" spans="1:9">
      <c r="A29" s="25"/>
      <c r="B29" s="390">
        <v>7</v>
      </c>
      <c r="C29" s="387" t="s">
        <v>78</v>
      </c>
      <c r="D29" s="384">
        <f>E29/$E$49</f>
        <v>0.12830010758036758</v>
      </c>
      <c r="E29" s="381">
        <f>(ORCAMENTO!I63)</f>
        <v>23752.97</v>
      </c>
      <c r="F29" s="25"/>
    </row>
    <row r="30" spans="1:9" ht="11.25" customHeight="1">
      <c r="A30" s="25"/>
      <c r="B30" s="391"/>
      <c r="C30" s="388"/>
      <c r="D30" s="384"/>
      <c r="E30" s="381"/>
      <c r="F30" s="25"/>
    </row>
    <row r="31" spans="1:9" ht="6.75" customHeight="1">
      <c r="A31" s="25"/>
      <c r="B31" s="392"/>
      <c r="C31" s="389"/>
      <c r="D31" s="384"/>
      <c r="E31" s="381"/>
      <c r="F31" s="25"/>
    </row>
    <row r="32" spans="1:9">
      <c r="A32" s="25"/>
      <c r="B32" s="382">
        <v>8</v>
      </c>
      <c r="C32" s="383" t="s">
        <v>79</v>
      </c>
      <c r="D32" s="384">
        <f>E32/$E$49</f>
        <v>6.1376282226240059E-2</v>
      </c>
      <c r="E32" s="381">
        <f>(ORCAMENTO!I69)</f>
        <v>11362.96</v>
      </c>
      <c r="F32" s="25"/>
    </row>
    <row r="33" spans="1:6" ht="19.5" customHeight="1">
      <c r="A33" s="25"/>
      <c r="B33" s="382"/>
      <c r="C33" s="383"/>
      <c r="D33" s="384"/>
      <c r="E33" s="381"/>
      <c r="F33" s="25"/>
    </row>
    <row r="34" spans="1:6">
      <c r="A34" s="25"/>
      <c r="B34" s="382">
        <v>9</v>
      </c>
      <c r="C34" s="383" t="s">
        <v>80</v>
      </c>
      <c r="D34" s="384">
        <f>E34/$E$49</f>
        <v>0.10725638950520756</v>
      </c>
      <c r="E34" s="381">
        <f>(ORCAMENTO!I73)</f>
        <v>19857.019999999997</v>
      </c>
      <c r="F34" s="25"/>
    </row>
    <row r="35" spans="1:6" ht="19.5" customHeight="1">
      <c r="A35" s="25"/>
      <c r="B35" s="382"/>
      <c r="C35" s="383"/>
      <c r="D35" s="384"/>
      <c r="E35" s="381"/>
      <c r="F35" s="25"/>
    </row>
    <row r="36" spans="1:6">
      <c r="A36" s="25"/>
      <c r="B36" s="382">
        <v>10</v>
      </c>
      <c r="C36" s="383" t="s">
        <v>27</v>
      </c>
      <c r="D36" s="384">
        <f>E36/$E$49</f>
        <v>7.6967522417707948E-2</v>
      </c>
      <c r="E36" s="381">
        <f>(ORCAMENTO!I79)</f>
        <v>14249.46</v>
      </c>
      <c r="F36" s="25"/>
    </row>
    <row r="37" spans="1:6" ht="20.25" customHeight="1">
      <c r="A37" s="25"/>
      <c r="B37" s="382"/>
      <c r="C37" s="383"/>
      <c r="D37" s="384"/>
      <c r="E37" s="381"/>
      <c r="F37" s="25"/>
    </row>
    <row r="38" spans="1:6">
      <c r="A38" s="25"/>
      <c r="B38" s="382">
        <v>11</v>
      </c>
      <c r="C38" s="383" t="s">
        <v>81</v>
      </c>
      <c r="D38" s="384">
        <f>E38/$E$49</f>
        <v>6.4362951324272374E-2</v>
      </c>
      <c r="E38" s="381">
        <f>(ORCAMENTO!I86)</f>
        <v>11915.900000000001</v>
      </c>
      <c r="F38" s="25"/>
    </row>
    <row r="39" spans="1:6" ht="18" customHeight="1">
      <c r="A39" s="25"/>
      <c r="B39" s="382"/>
      <c r="C39" s="383"/>
      <c r="D39" s="384"/>
      <c r="E39" s="381"/>
      <c r="F39" s="25"/>
    </row>
    <row r="40" spans="1:6">
      <c r="A40" s="25"/>
      <c r="B40" s="382">
        <v>12</v>
      </c>
      <c r="C40" s="383" t="s">
        <v>82</v>
      </c>
      <c r="D40" s="384">
        <f>E40/$E$49</f>
        <v>6.9239960394522945E-2</v>
      </c>
      <c r="E40" s="381">
        <f>(ORCAMENTO!I125)</f>
        <v>12818.810000000001</v>
      </c>
      <c r="F40" s="25"/>
    </row>
    <row r="41" spans="1:6">
      <c r="A41" s="25"/>
      <c r="B41" s="382"/>
      <c r="C41" s="383"/>
      <c r="D41" s="384"/>
      <c r="E41" s="381"/>
      <c r="F41" s="25"/>
    </row>
    <row r="42" spans="1:6">
      <c r="A42" s="25"/>
      <c r="B42" s="382"/>
      <c r="C42" s="383"/>
      <c r="D42" s="384"/>
      <c r="E42" s="381"/>
      <c r="F42" s="25"/>
    </row>
    <row r="43" spans="1:6">
      <c r="A43" s="25"/>
      <c r="B43" s="382">
        <v>13</v>
      </c>
      <c r="C43" s="383" t="s">
        <v>119</v>
      </c>
      <c r="D43" s="384">
        <f>E43/$E$49</f>
        <v>5.925535502250482E-2</v>
      </c>
      <c r="E43" s="381">
        <f>(ORCAMENTO!I148)</f>
        <v>10970.3</v>
      </c>
      <c r="F43" s="25"/>
    </row>
    <row r="44" spans="1:6">
      <c r="A44" s="25"/>
      <c r="B44" s="382"/>
      <c r="C44" s="383"/>
      <c r="D44" s="384"/>
      <c r="E44" s="381"/>
      <c r="F44" s="25"/>
    </row>
    <row r="45" spans="1:6">
      <c r="A45" s="25"/>
      <c r="B45" s="382"/>
      <c r="C45" s="383"/>
      <c r="D45" s="384"/>
      <c r="E45" s="381"/>
      <c r="F45" s="25"/>
    </row>
    <row r="46" spans="1:6">
      <c r="A46" s="25"/>
      <c r="B46" s="382">
        <v>14</v>
      </c>
      <c r="C46" s="383" t="s">
        <v>162</v>
      </c>
      <c r="D46" s="384">
        <f>E46/$E$49</f>
        <v>1.0902255050219568E-3</v>
      </c>
      <c r="E46" s="381">
        <f>(ORCAMENTO!I151)</f>
        <v>201.84</v>
      </c>
      <c r="F46" s="25"/>
    </row>
    <row r="47" spans="1:6">
      <c r="A47" s="25"/>
      <c r="B47" s="382"/>
      <c r="C47" s="383"/>
      <c r="D47" s="384"/>
      <c r="E47" s="381"/>
      <c r="F47" s="25"/>
    </row>
    <row r="48" spans="1:6" ht="13.5" thickBot="1">
      <c r="A48" s="25"/>
      <c r="B48" s="390"/>
      <c r="C48" s="387"/>
      <c r="D48" s="410"/>
      <c r="E48" s="411"/>
      <c r="F48" s="25"/>
    </row>
    <row r="49" spans="1:6">
      <c r="A49" s="25"/>
      <c r="B49" s="408" t="s">
        <v>17</v>
      </c>
      <c r="C49" s="409"/>
      <c r="D49" s="203">
        <f>SUM(D10:D48)</f>
        <v>1.0000000000000002</v>
      </c>
      <c r="E49" s="201">
        <f>SUM(E10:E48)</f>
        <v>185136.00999999995</v>
      </c>
      <c r="F49" s="25"/>
    </row>
    <row r="50" spans="1:6" ht="5.25" customHeight="1" thickBot="1">
      <c r="A50" s="25"/>
      <c r="B50" s="195"/>
      <c r="C50" s="26"/>
      <c r="D50" s="204"/>
      <c r="E50" s="202"/>
      <c r="F50" s="25"/>
    </row>
    <row r="51" spans="1:6">
      <c r="B51" s="24"/>
      <c r="C51" s="56"/>
      <c r="D51" s="56"/>
      <c r="E51" s="56"/>
    </row>
    <row r="52" spans="1:6">
      <c r="B52" s="24"/>
      <c r="C52" s="24"/>
      <c r="D52" s="24"/>
      <c r="E52" s="24"/>
    </row>
    <row r="53" spans="1:6">
      <c r="D53" s="25"/>
      <c r="E53" s="25"/>
    </row>
    <row r="54" spans="1:6">
      <c r="D54" s="25"/>
      <c r="E54" s="57"/>
    </row>
    <row r="55" spans="1:6">
      <c r="D55" s="25"/>
      <c r="E55" s="57"/>
    </row>
    <row r="56" spans="1:6">
      <c r="E56" s="58"/>
    </row>
  </sheetData>
  <mergeCells count="68">
    <mergeCell ref="C20:C22"/>
    <mergeCell ref="D20:D22"/>
    <mergeCell ref="E20:E22"/>
    <mergeCell ref="B23:B25"/>
    <mergeCell ref="C23:C25"/>
    <mergeCell ref="D23:D25"/>
    <mergeCell ref="B49:C49"/>
    <mergeCell ref="B36:B37"/>
    <mergeCell ref="C36:C37"/>
    <mergeCell ref="D36:D37"/>
    <mergeCell ref="E36:E37"/>
    <mergeCell ref="B38:B39"/>
    <mergeCell ref="C38:C39"/>
    <mergeCell ref="D38:D39"/>
    <mergeCell ref="E40:E42"/>
    <mergeCell ref="B43:B45"/>
    <mergeCell ref="C43:C45"/>
    <mergeCell ref="D43:D45"/>
    <mergeCell ref="B46:B48"/>
    <mergeCell ref="C46:C48"/>
    <mergeCell ref="D46:D48"/>
    <mergeCell ref="E46:E48"/>
    <mergeCell ref="B3:E3"/>
    <mergeCell ref="E23:E25"/>
    <mergeCell ref="B15:B16"/>
    <mergeCell ref="C15:C16"/>
    <mergeCell ref="D15:D16"/>
    <mergeCell ref="E15:E16"/>
    <mergeCell ref="B17:B19"/>
    <mergeCell ref="C17:C19"/>
    <mergeCell ref="D17:D19"/>
    <mergeCell ref="E17:E19"/>
    <mergeCell ref="B4:E4"/>
    <mergeCell ref="B8:B9"/>
    <mergeCell ref="C8:C9"/>
    <mergeCell ref="D8:D9"/>
    <mergeCell ref="B12:B14"/>
    <mergeCell ref="B20:B22"/>
    <mergeCell ref="D12:D14"/>
    <mergeCell ref="E12:E14"/>
    <mergeCell ref="B5:E5"/>
    <mergeCell ref="B6:C6"/>
    <mergeCell ref="B10:B11"/>
    <mergeCell ref="C10:C11"/>
    <mergeCell ref="D10:D11"/>
    <mergeCell ref="E10:E11"/>
    <mergeCell ref="C12:C14"/>
    <mergeCell ref="B26:B28"/>
    <mergeCell ref="C26:C28"/>
    <mergeCell ref="E26:E28"/>
    <mergeCell ref="B34:B35"/>
    <mergeCell ref="C34:C35"/>
    <mergeCell ref="D34:D35"/>
    <mergeCell ref="E34:E35"/>
    <mergeCell ref="D26:D28"/>
    <mergeCell ref="B32:B33"/>
    <mergeCell ref="C32:C33"/>
    <mergeCell ref="D32:D33"/>
    <mergeCell ref="E32:E33"/>
    <mergeCell ref="C29:C31"/>
    <mergeCell ref="B29:B31"/>
    <mergeCell ref="D29:D31"/>
    <mergeCell ref="E29:E31"/>
    <mergeCell ref="E43:E45"/>
    <mergeCell ref="E38:E39"/>
    <mergeCell ref="B40:B42"/>
    <mergeCell ref="C40:C42"/>
    <mergeCell ref="D40:D42"/>
  </mergeCells>
  <printOptions horizontalCentered="1"/>
  <pageMargins left="0.59055118110236227" right="0.59055118110236227" top="1.3779527559055118" bottom="0.78740157480314965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4"/>
  <sheetViews>
    <sheetView showGridLines="0" view="pageBreakPreview" topLeftCell="A41" zoomScaleSheetLayoutView="100" workbookViewId="0">
      <selection activeCell="K3" sqref="K3"/>
    </sheetView>
  </sheetViews>
  <sheetFormatPr defaultColWidth="11.42578125" defaultRowHeight="12.75"/>
  <cols>
    <col min="1" max="1" width="0.7109375" style="10" customWidth="1"/>
    <col min="2" max="2" width="14.28515625" style="10" customWidth="1"/>
    <col min="3" max="3" width="48.5703125" style="10" customWidth="1"/>
    <col min="4" max="4" width="8" style="10" customWidth="1"/>
    <col min="5" max="5" width="14" style="10" customWidth="1"/>
    <col min="6" max="6" width="11" style="10" customWidth="1"/>
    <col min="7" max="7" width="10.28515625" style="10" customWidth="1"/>
    <col min="8" max="8" width="10" style="10" customWidth="1"/>
    <col min="9" max="9" width="9.85546875" style="10" customWidth="1"/>
    <col min="10" max="10" width="0.7109375" style="10" customWidth="1"/>
    <col min="11" max="16384" width="11.42578125" style="10"/>
  </cols>
  <sheetData>
    <row r="1" spans="1:10" ht="3.75" customHeight="1" thickBot="1">
      <c r="A1" s="182"/>
      <c r="B1" s="188"/>
      <c r="C1" s="188"/>
      <c r="D1" s="188"/>
      <c r="E1" s="188"/>
      <c r="F1" s="188"/>
      <c r="G1" s="188"/>
      <c r="H1" s="188"/>
      <c r="I1" s="188"/>
      <c r="J1" s="183"/>
    </row>
    <row r="2" spans="1:10" ht="26.25" customHeight="1">
      <c r="A2" s="184"/>
      <c r="B2" s="412" t="s">
        <v>347</v>
      </c>
      <c r="C2" s="413"/>
      <c r="D2" s="413"/>
      <c r="E2" s="413"/>
      <c r="F2" s="413"/>
      <c r="G2" s="413"/>
      <c r="H2" s="413"/>
      <c r="I2" s="414"/>
      <c r="J2" s="185"/>
    </row>
    <row r="3" spans="1:10" ht="20.25">
      <c r="A3" s="184"/>
      <c r="B3" s="205"/>
      <c r="C3" s="106"/>
      <c r="D3" s="106"/>
      <c r="E3" s="106"/>
      <c r="F3" s="106"/>
      <c r="G3" s="106"/>
      <c r="H3" s="106"/>
      <c r="I3" s="206"/>
      <c r="J3" s="185"/>
    </row>
    <row r="4" spans="1:10" ht="15" customHeight="1">
      <c r="A4" s="184"/>
      <c r="B4" s="415" t="s">
        <v>344</v>
      </c>
      <c r="C4" s="416"/>
      <c r="D4" s="416"/>
      <c r="E4" s="416"/>
      <c r="F4" s="416"/>
      <c r="G4" s="416"/>
      <c r="H4" s="416"/>
      <c r="I4" s="417"/>
      <c r="J4" s="185"/>
    </row>
    <row r="5" spans="1:10" ht="36" customHeight="1">
      <c r="A5" s="184"/>
      <c r="B5" s="418" t="s">
        <v>345</v>
      </c>
      <c r="C5" s="419"/>
      <c r="D5" s="419"/>
      <c r="E5" s="419"/>
      <c r="F5" s="419"/>
      <c r="G5" s="419"/>
      <c r="H5" s="419"/>
      <c r="I5" s="420"/>
      <c r="J5" s="185"/>
    </row>
    <row r="6" spans="1:10" ht="19.5" customHeight="1">
      <c r="A6" s="184"/>
      <c r="B6" s="418" t="s">
        <v>123</v>
      </c>
      <c r="C6" s="419"/>
      <c r="D6" s="419"/>
      <c r="E6" s="419"/>
      <c r="F6" s="419"/>
      <c r="G6" s="419"/>
      <c r="H6" s="344" t="s">
        <v>83</v>
      </c>
      <c r="I6" s="345"/>
      <c r="J6" s="185"/>
    </row>
    <row r="7" spans="1:10" ht="23.25" customHeight="1" thickBot="1">
      <c r="A7" s="184"/>
      <c r="B7" s="421" t="s">
        <v>93</v>
      </c>
      <c r="C7" s="422"/>
      <c r="D7" s="422"/>
      <c r="E7" s="422"/>
      <c r="F7" s="422"/>
      <c r="G7" s="422"/>
      <c r="H7" s="422"/>
      <c r="I7" s="423"/>
      <c r="J7" s="185"/>
    </row>
    <row r="8" spans="1:10" ht="17.100000000000001" customHeight="1">
      <c r="A8" s="184"/>
      <c r="B8" s="28"/>
      <c r="C8" s="29"/>
      <c r="D8" s="29"/>
      <c r="E8" s="29"/>
      <c r="F8" s="29"/>
      <c r="G8" s="29"/>
      <c r="H8" s="29"/>
      <c r="I8" s="29"/>
      <c r="J8" s="185"/>
    </row>
    <row r="9" spans="1:10">
      <c r="A9" s="184"/>
      <c r="B9" s="436" t="s">
        <v>0</v>
      </c>
      <c r="C9" s="436" t="s">
        <v>7</v>
      </c>
      <c r="D9" s="436" t="s">
        <v>8</v>
      </c>
      <c r="E9" s="30" t="s">
        <v>9</v>
      </c>
      <c r="F9" s="436" t="s">
        <v>22</v>
      </c>
      <c r="G9" s="436" t="s">
        <v>23</v>
      </c>
      <c r="H9" s="436" t="s">
        <v>24</v>
      </c>
      <c r="I9" s="436" t="s">
        <v>25</v>
      </c>
      <c r="J9" s="185"/>
    </row>
    <row r="10" spans="1:10">
      <c r="A10" s="184"/>
      <c r="B10" s="437"/>
      <c r="C10" s="437"/>
      <c r="D10" s="437"/>
      <c r="E10" s="30" t="s">
        <v>10</v>
      </c>
      <c r="F10" s="437"/>
      <c r="G10" s="437"/>
      <c r="H10" s="437"/>
      <c r="I10" s="437"/>
      <c r="J10" s="185"/>
    </row>
    <row r="11" spans="1:10" hidden="1">
      <c r="A11" s="184"/>
      <c r="B11" s="390">
        <v>1</v>
      </c>
      <c r="C11" s="387" t="s">
        <v>94</v>
      </c>
      <c r="D11" s="384">
        <f>E11/$E$57+0.00001</f>
        <v>1.0000000000000001E-5</v>
      </c>
      <c r="E11" s="430">
        <f>ORCAMENTO!I17</f>
        <v>0</v>
      </c>
      <c r="F11" s="31"/>
      <c r="G11" s="31"/>
      <c r="H11" s="31"/>
      <c r="I11" s="31"/>
      <c r="J11" s="185"/>
    </row>
    <row r="12" spans="1:10" hidden="1">
      <c r="A12" s="184"/>
      <c r="B12" s="391"/>
      <c r="C12" s="388"/>
      <c r="D12" s="384"/>
      <c r="E12" s="431"/>
      <c r="F12" s="33">
        <v>0.25</v>
      </c>
      <c r="G12" s="33">
        <v>0.25</v>
      </c>
      <c r="H12" s="33">
        <v>0.25</v>
      </c>
      <c r="I12" s="34">
        <v>0.25</v>
      </c>
      <c r="J12" s="185"/>
    </row>
    <row r="13" spans="1:10" hidden="1">
      <c r="A13" s="184"/>
      <c r="B13" s="392"/>
      <c r="C13" s="389"/>
      <c r="D13" s="384"/>
      <c r="E13" s="432"/>
      <c r="F13" s="35">
        <f>(F12*E11)</f>
        <v>0</v>
      </c>
      <c r="G13" s="35">
        <f>(G12*E11)</f>
        <v>0</v>
      </c>
      <c r="H13" s="35">
        <f>(H12*E11)</f>
        <v>0</v>
      </c>
      <c r="I13" s="36">
        <f>(I12*E11)</f>
        <v>0</v>
      </c>
      <c r="J13" s="185"/>
    </row>
    <row r="14" spans="1:10">
      <c r="A14" s="184"/>
      <c r="B14" s="390">
        <v>1</v>
      </c>
      <c r="C14" s="387" t="s">
        <v>11</v>
      </c>
      <c r="D14" s="384">
        <f>E14/$E$57+0.00001</f>
        <v>2.5963675894819172E-2</v>
      </c>
      <c r="E14" s="430">
        <f>ORCAMENTO!I22</f>
        <v>4804.96</v>
      </c>
      <c r="F14" s="31"/>
      <c r="G14" s="89"/>
      <c r="H14" s="32"/>
      <c r="I14" s="32"/>
      <c r="J14" s="185"/>
    </row>
    <row r="15" spans="1:10">
      <c r="A15" s="184"/>
      <c r="B15" s="391"/>
      <c r="C15" s="388"/>
      <c r="D15" s="384"/>
      <c r="E15" s="431"/>
      <c r="F15" s="33">
        <v>1</v>
      </c>
      <c r="G15" s="33"/>
      <c r="H15" s="34"/>
      <c r="I15" s="34"/>
      <c r="J15" s="185"/>
    </row>
    <row r="16" spans="1:10">
      <c r="A16" s="184"/>
      <c r="B16" s="392"/>
      <c r="C16" s="389"/>
      <c r="D16" s="384"/>
      <c r="E16" s="432"/>
      <c r="F16" s="35">
        <f>(F15*E14)</f>
        <v>4804.96</v>
      </c>
      <c r="G16" s="36"/>
      <c r="H16" s="37"/>
      <c r="I16" s="36"/>
      <c r="J16" s="185"/>
    </row>
    <row r="17" spans="1:10">
      <c r="A17" s="184"/>
      <c r="B17" s="390">
        <v>2</v>
      </c>
      <c r="C17" s="387" t="s">
        <v>12</v>
      </c>
      <c r="D17" s="384">
        <f>E17/$E$57</f>
        <v>9.9310231434716571E-3</v>
      </c>
      <c r="E17" s="430">
        <f>ORCAMENTO!I27</f>
        <v>1838.5899999999997</v>
      </c>
      <c r="F17" s="38"/>
      <c r="G17" s="39"/>
      <c r="H17" s="40"/>
      <c r="I17" s="41"/>
      <c r="J17" s="185"/>
    </row>
    <row r="18" spans="1:10">
      <c r="A18" s="184"/>
      <c r="B18" s="391"/>
      <c r="C18" s="388"/>
      <c r="D18" s="384"/>
      <c r="E18" s="431"/>
      <c r="F18" s="33">
        <v>1</v>
      </c>
      <c r="G18" s="33"/>
      <c r="H18" s="34"/>
      <c r="I18" s="34"/>
      <c r="J18" s="185"/>
    </row>
    <row r="19" spans="1:10">
      <c r="A19" s="184"/>
      <c r="B19" s="392"/>
      <c r="C19" s="389"/>
      <c r="D19" s="384"/>
      <c r="E19" s="432"/>
      <c r="F19" s="35">
        <f>F18*E17</f>
        <v>1838.5899999999997</v>
      </c>
      <c r="G19" s="35"/>
      <c r="H19" s="37"/>
      <c r="I19" s="36"/>
      <c r="J19" s="185"/>
    </row>
    <row r="20" spans="1:10">
      <c r="A20" s="184"/>
      <c r="B20" s="390">
        <v>3</v>
      </c>
      <c r="C20" s="387" t="s">
        <v>75</v>
      </c>
      <c r="D20" s="384">
        <f>E20/$E$57</f>
        <v>7.590830114573606E-2</v>
      </c>
      <c r="E20" s="430">
        <f>ORCAMENTO!I37</f>
        <v>14053.359999999999</v>
      </c>
      <c r="F20" s="42"/>
      <c r="G20" s="433"/>
      <c r="H20" s="424"/>
      <c r="I20" s="41"/>
      <c r="J20" s="185"/>
    </row>
    <row r="21" spans="1:10">
      <c r="A21" s="184"/>
      <c r="B21" s="391"/>
      <c r="C21" s="388"/>
      <c r="D21" s="384"/>
      <c r="E21" s="431"/>
      <c r="F21" s="33">
        <v>1</v>
      </c>
      <c r="G21" s="434"/>
      <c r="H21" s="425"/>
      <c r="I21" s="34"/>
      <c r="J21" s="185"/>
    </row>
    <row r="22" spans="1:10">
      <c r="A22" s="184"/>
      <c r="B22" s="392"/>
      <c r="C22" s="389"/>
      <c r="D22" s="384"/>
      <c r="E22" s="432"/>
      <c r="F22" s="35">
        <f>F21*E20</f>
        <v>14053.359999999999</v>
      </c>
      <c r="G22" s="435"/>
      <c r="H22" s="426"/>
      <c r="I22" s="36"/>
      <c r="J22" s="185"/>
    </row>
    <row r="23" spans="1:10">
      <c r="A23" s="184"/>
      <c r="B23" s="390">
        <v>4</v>
      </c>
      <c r="C23" s="387" t="s">
        <v>26</v>
      </c>
      <c r="D23" s="384">
        <f>E23/$E$57</f>
        <v>0.14260224145480938</v>
      </c>
      <c r="E23" s="430">
        <f>ORCAMENTO!I49</f>
        <v>26400.809999999998</v>
      </c>
      <c r="F23" s="42"/>
      <c r="G23" s="433"/>
      <c r="H23" s="424"/>
      <c r="I23" s="41"/>
      <c r="J23" s="185"/>
    </row>
    <row r="24" spans="1:10">
      <c r="A24" s="184"/>
      <c r="B24" s="391"/>
      <c r="C24" s="388"/>
      <c r="D24" s="384"/>
      <c r="E24" s="431"/>
      <c r="F24" s="33">
        <v>1</v>
      </c>
      <c r="G24" s="434"/>
      <c r="H24" s="425"/>
      <c r="I24" s="34"/>
      <c r="J24" s="185"/>
    </row>
    <row r="25" spans="1:10">
      <c r="A25" s="184"/>
      <c r="B25" s="392"/>
      <c r="C25" s="389"/>
      <c r="D25" s="384"/>
      <c r="E25" s="432"/>
      <c r="F25" s="35">
        <f>F24*E23</f>
        <v>26400.809999999998</v>
      </c>
      <c r="G25" s="435"/>
      <c r="H25" s="426"/>
      <c r="I25" s="36"/>
      <c r="J25" s="185"/>
    </row>
    <row r="26" spans="1:10">
      <c r="A26" s="184"/>
      <c r="B26" s="390">
        <v>5</v>
      </c>
      <c r="C26" s="387" t="s">
        <v>76</v>
      </c>
      <c r="D26" s="384">
        <f>E26/$E$57</f>
        <v>3.2747275908128308E-3</v>
      </c>
      <c r="E26" s="431">
        <f>ORCAMENTO!I52</f>
        <v>606.27</v>
      </c>
      <c r="F26" s="42"/>
      <c r="G26" s="433"/>
      <c r="H26" s="424"/>
      <c r="I26" s="41"/>
      <c r="J26" s="185"/>
    </row>
    <row r="27" spans="1:10">
      <c r="A27" s="184"/>
      <c r="B27" s="391"/>
      <c r="C27" s="388"/>
      <c r="D27" s="384"/>
      <c r="E27" s="431"/>
      <c r="F27" s="33">
        <v>1</v>
      </c>
      <c r="G27" s="434"/>
      <c r="H27" s="425"/>
      <c r="I27" s="34"/>
      <c r="J27" s="185"/>
    </row>
    <row r="28" spans="1:10">
      <c r="A28" s="184"/>
      <c r="B28" s="392"/>
      <c r="C28" s="389"/>
      <c r="D28" s="384"/>
      <c r="E28" s="432"/>
      <c r="F28" s="35">
        <f>F27*E26</f>
        <v>606.27</v>
      </c>
      <c r="G28" s="435"/>
      <c r="H28" s="426"/>
      <c r="I28" s="36"/>
      <c r="J28" s="185"/>
    </row>
    <row r="29" spans="1:10">
      <c r="A29" s="184"/>
      <c r="B29" s="390">
        <v>6</v>
      </c>
      <c r="C29" s="387" t="s">
        <v>77</v>
      </c>
      <c r="D29" s="384">
        <f>E29/$E$57</f>
        <v>0.17448123679450586</v>
      </c>
      <c r="E29" s="430">
        <f>ORCAMENTO!I57</f>
        <v>32302.76</v>
      </c>
      <c r="F29" s="42"/>
      <c r="G29" s="433"/>
      <c r="H29" s="424"/>
      <c r="I29" s="41"/>
      <c r="J29" s="185"/>
    </row>
    <row r="30" spans="1:10">
      <c r="A30" s="184"/>
      <c r="B30" s="391"/>
      <c r="C30" s="388"/>
      <c r="D30" s="384"/>
      <c r="E30" s="431"/>
      <c r="F30" s="33">
        <v>1</v>
      </c>
      <c r="G30" s="434"/>
      <c r="H30" s="425"/>
      <c r="I30" s="34"/>
      <c r="J30" s="185"/>
    </row>
    <row r="31" spans="1:10">
      <c r="A31" s="184"/>
      <c r="B31" s="392"/>
      <c r="C31" s="389"/>
      <c r="D31" s="384"/>
      <c r="E31" s="432"/>
      <c r="F31" s="35">
        <f>F30*E29</f>
        <v>32302.76</v>
      </c>
      <c r="G31" s="435"/>
      <c r="H31" s="426"/>
      <c r="I31" s="36"/>
      <c r="J31" s="185"/>
    </row>
    <row r="32" spans="1:10">
      <c r="A32" s="184"/>
      <c r="B32" s="390">
        <v>7</v>
      </c>
      <c r="C32" s="427" t="s">
        <v>13</v>
      </c>
      <c r="D32" s="384">
        <f>E32/$E$57</f>
        <v>0.12830010758036758</v>
      </c>
      <c r="E32" s="430">
        <f>ORCAMENTO!I63</f>
        <v>23752.97</v>
      </c>
      <c r="F32" s="43"/>
      <c r="G32" s="43"/>
      <c r="H32" s="47"/>
      <c r="I32" s="48"/>
      <c r="J32" s="185"/>
    </row>
    <row r="33" spans="1:10">
      <c r="A33" s="184"/>
      <c r="B33" s="391"/>
      <c r="C33" s="428"/>
      <c r="D33" s="384"/>
      <c r="E33" s="431"/>
      <c r="F33" s="34">
        <v>0.5</v>
      </c>
      <c r="G33" s="34">
        <v>0.5</v>
      </c>
      <c r="H33" s="45"/>
      <c r="I33" s="45"/>
      <c r="J33" s="185"/>
    </row>
    <row r="34" spans="1:10">
      <c r="A34" s="184"/>
      <c r="B34" s="392"/>
      <c r="C34" s="429"/>
      <c r="D34" s="384"/>
      <c r="E34" s="432"/>
      <c r="F34" s="36">
        <f>F33*E32</f>
        <v>11876.485000000001</v>
      </c>
      <c r="G34" s="36">
        <f>G33*E32</f>
        <v>11876.485000000001</v>
      </c>
      <c r="H34" s="49"/>
      <c r="I34" s="49"/>
      <c r="J34" s="185"/>
    </row>
    <row r="35" spans="1:10">
      <c r="A35" s="184"/>
      <c r="B35" s="390">
        <v>8</v>
      </c>
      <c r="C35" s="387" t="s">
        <v>14</v>
      </c>
      <c r="D35" s="384">
        <f>E35/$E$57</f>
        <v>6.1376282226240059E-2</v>
      </c>
      <c r="E35" s="430">
        <f>ORCAMENTO!I69</f>
        <v>11362.96</v>
      </c>
      <c r="F35" s="44"/>
      <c r="G35" s="43"/>
      <c r="H35" s="424"/>
      <c r="I35" s="46"/>
      <c r="J35" s="185"/>
    </row>
    <row r="36" spans="1:10">
      <c r="A36" s="184"/>
      <c r="B36" s="391"/>
      <c r="C36" s="388"/>
      <c r="D36" s="384"/>
      <c r="E36" s="431"/>
      <c r="F36" s="34"/>
      <c r="G36" s="44">
        <v>1</v>
      </c>
      <c r="H36" s="425"/>
      <c r="I36" s="34"/>
      <c r="J36" s="185"/>
    </row>
    <row r="37" spans="1:10">
      <c r="A37" s="184"/>
      <c r="B37" s="392"/>
      <c r="C37" s="388"/>
      <c r="D37" s="384"/>
      <c r="E37" s="432"/>
      <c r="F37" s="84"/>
      <c r="G37" s="36">
        <f>G36*E35</f>
        <v>11362.96</v>
      </c>
      <c r="H37" s="426"/>
      <c r="I37" s="36"/>
      <c r="J37" s="185"/>
    </row>
    <row r="38" spans="1:10">
      <c r="A38" s="184"/>
      <c r="B38" s="390">
        <v>9</v>
      </c>
      <c r="C38" s="387" t="s">
        <v>80</v>
      </c>
      <c r="D38" s="384">
        <f>E38/$E$57</f>
        <v>0.10725638950520756</v>
      </c>
      <c r="E38" s="430">
        <f>ORCAMENTO!I73</f>
        <v>19857.019999999997</v>
      </c>
      <c r="F38" s="33"/>
      <c r="G38" s="43"/>
      <c r="H38" s="424"/>
      <c r="I38" s="46"/>
      <c r="J38" s="185"/>
    </row>
    <row r="39" spans="1:10">
      <c r="A39" s="184"/>
      <c r="B39" s="391"/>
      <c r="C39" s="388"/>
      <c r="D39" s="384"/>
      <c r="E39" s="431"/>
      <c r="F39" s="34"/>
      <c r="G39" s="44">
        <v>1</v>
      </c>
      <c r="H39" s="425"/>
      <c r="I39" s="34"/>
      <c r="J39" s="185"/>
    </row>
    <row r="40" spans="1:10">
      <c r="A40" s="184"/>
      <c r="B40" s="392"/>
      <c r="C40" s="388"/>
      <c r="D40" s="384"/>
      <c r="E40" s="432"/>
      <c r="F40" s="34"/>
      <c r="G40" s="36">
        <f>G39*E38</f>
        <v>19857.019999999997</v>
      </c>
      <c r="H40" s="426"/>
      <c r="I40" s="36"/>
      <c r="J40" s="185"/>
    </row>
    <row r="41" spans="1:10">
      <c r="A41" s="184"/>
      <c r="B41" s="390">
        <v>10</v>
      </c>
      <c r="C41" s="427" t="s">
        <v>27</v>
      </c>
      <c r="D41" s="384">
        <f>E41/$E$57</f>
        <v>7.6967522417707948E-2</v>
      </c>
      <c r="E41" s="430">
        <f>ORCAMENTO!I79</f>
        <v>14249.46</v>
      </c>
      <c r="F41" s="50"/>
      <c r="G41" s="424"/>
      <c r="H41" s="43"/>
      <c r="I41" s="43"/>
      <c r="J41" s="185"/>
    </row>
    <row r="42" spans="1:10">
      <c r="A42" s="184"/>
      <c r="B42" s="391"/>
      <c r="C42" s="428"/>
      <c r="D42" s="384"/>
      <c r="E42" s="431"/>
      <c r="F42" s="33"/>
      <c r="G42" s="425"/>
      <c r="H42" s="34">
        <v>0.5</v>
      </c>
      <c r="I42" s="34">
        <v>0.5</v>
      </c>
      <c r="J42" s="185"/>
    </row>
    <row r="43" spans="1:10">
      <c r="A43" s="184"/>
      <c r="B43" s="392"/>
      <c r="C43" s="429"/>
      <c r="D43" s="384"/>
      <c r="E43" s="432"/>
      <c r="F43" s="35"/>
      <c r="G43" s="426"/>
      <c r="H43" s="37">
        <f>H42*E41</f>
        <v>7124.73</v>
      </c>
      <c r="I43" s="37">
        <f>I42*E41</f>
        <v>7124.73</v>
      </c>
      <c r="J43" s="185"/>
    </row>
    <row r="44" spans="1:10">
      <c r="A44" s="184"/>
      <c r="B44" s="390">
        <v>11</v>
      </c>
      <c r="C44" s="427" t="s">
        <v>15</v>
      </c>
      <c r="D44" s="384">
        <f>E44/$E$57</f>
        <v>6.4362951324272374E-2</v>
      </c>
      <c r="E44" s="430">
        <f>ORCAMENTO!I86</f>
        <v>11915.900000000001</v>
      </c>
      <c r="F44" s="50"/>
      <c r="G44" s="43"/>
      <c r="H44" s="43"/>
      <c r="I44" s="43"/>
      <c r="J44" s="185"/>
    </row>
    <row r="45" spans="1:10">
      <c r="A45" s="184"/>
      <c r="B45" s="391"/>
      <c r="C45" s="428"/>
      <c r="D45" s="384"/>
      <c r="E45" s="431"/>
      <c r="F45" s="33"/>
      <c r="G45" s="44">
        <v>0.2</v>
      </c>
      <c r="H45" s="44">
        <v>0.4</v>
      </c>
      <c r="I45" s="34">
        <v>0.4</v>
      </c>
      <c r="J45" s="185"/>
    </row>
    <row r="46" spans="1:10">
      <c r="A46" s="184"/>
      <c r="B46" s="392"/>
      <c r="C46" s="429"/>
      <c r="D46" s="384"/>
      <c r="E46" s="432"/>
      <c r="F46" s="35"/>
      <c r="G46" s="36">
        <f>G45*E44</f>
        <v>2383.1800000000003</v>
      </c>
      <c r="H46" s="36">
        <f>H45*E44</f>
        <v>4766.3600000000006</v>
      </c>
      <c r="I46" s="37">
        <f>I45*E44</f>
        <v>4766.3600000000006</v>
      </c>
      <c r="J46" s="185"/>
    </row>
    <row r="47" spans="1:10">
      <c r="A47" s="184"/>
      <c r="B47" s="390">
        <v>12</v>
      </c>
      <c r="C47" s="387" t="s">
        <v>82</v>
      </c>
      <c r="D47" s="384">
        <f>E47/$E$57</f>
        <v>6.9239960394522945E-2</v>
      </c>
      <c r="E47" s="430">
        <f>ORCAMENTO!I125</f>
        <v>12818.810000000001</v>
      </c>
      <c r="F47" s="50"/>
      <c r="G47" s="43"/>
      <c r="H47" s="43"/>
      <c r="I47" s="43"/>
      <c r="J47" s="185"/>
    </row>
    <row r="48" spans="1:10">
      <c r="A48" s="184"/>
      <c r="B48" s="391"/>
      <c r="C48" s="388"/>
      <c r="D48" s="384"/>
      <c r="E48" s="431"/>
      <c r="F48" s="33"/>
      <c r="G48" s="44">
        <v>0.2</v>
      </c>
      <c r="H48" s="44">
        <v>0.4</v>
      </c>
      <c r="I48" s="34">
        <v>0.4</v>
      </c>
      <c r="J48" s="185"/>
    </row>
    <row r="49" spans="1:10">
      <c r="A49" s="184"/>
      <c r="B49" s="392"/>
      <c r="C49" s="389"/>
      <c r="D49" s="384"/>
      <c r="E49" s="432"/>
      <c r="F49" s="35"/>
      <c r="G49" s="36">
        <f>G48*E47</f>
        <v>2563.7620000000006</v>
      </c>
      <c r="H49" s="36">
        <f>H48*E47</f>
        <v>5127.5240000000013</v>
      </c>
      <c r="I49" s="37">
        <f>I48*E47</f>
        <v>5127.5240000000013</v>
      </c>
      <c r="J49" s="185"/>
    </row>
    <row r="50" spans="1:10">
      <c r="A50" s="184"/>
      <c r="B50" s="390">
        <v>13</v>
      </c>
      <c r="C50" s="387" t="s">
        <v>119</v>
      </c>
      <c r="D50" s="384">
        <f>E50/$E$57</f>
        <v>5.925535502250482E-2</v>
      </c>
      <c r="E50" s="430">
        <f>ORCAMENTO!I148</f>
        <v>10970.3</v>
      </c>
      <c r="F50" s="50"/>
      <c r="G50" s="43"/>
      <c r="H50" s="43"/>
      <c r="I50" s="43"/>
      <c r="J50" s="185"/>
    </row>
    <row r="51" spans="1:10">
      <c r="A51" s="184"/>
      <c r="B51" s="391"/>
      <c r="C51" s="388"/>
      <c r="D51" s="384"/>
      <c r="E51" s="431"/>
      <c r="F51" s="33"/>
      <c r="G51" s="44">
        <v>0.1</v>
      </c>
      <c r="H51" s="44">
        <v>0.4</v>
      </c>
      <c r="I51" s="34">
        <v>0.5</v>
      </c>
      <c r="J51" s="185"/>
    </row>
    <row r="52" spans="1:10">
      <c r="A52" s="184"/>
      <c r="B52" s="392"/>
      <c r="C52" s="389"/>
      <c r="D52" s="384"/>
      <c r="E52" s="432"/>
      <c r="F52" s="35"/>
      <c r="G52" s="36">
        <f>G51*E50</f>
        <v>1097.03</v>
      </c>
      <c r="H52" s="36">
        <f>H51*E50</f>
        <v>4388.12</v>
      </c>
      <c r="I52" s="37">
        <f>I51*E50</f>
        <v>5485.15</v>
      </c>
      <c r="J52" s="185"/>
    </row>
    <row r="53" spans="1:10" ht="14.25" customHeight="1">
      <c r="A53" s="184"/>
      <c r="B53" s="390">
        <v>14</v>
      </c>
      <c r="C53" s="158"/>
      <c r="D53" s="410">
        <f>E53/$E$57</f>
        <v>1.0902255050219568E-3</v>
      </c>
      <c r="E53" s="430">
        <f>ORCAMENTO!I151</f>
        <v>201.84</v>
      </c>
      <c r="F53" s="50"/>
      <c r="G53" s="85"/>
      <c r="H53" s="51"/>
      <c r="I53" s="38"/>
      <c r="J53" s="185"/>
    </row>
    <row r="54" spans="1:10" ht="21" customHeight="1">
      <c r="A54" s="184"/>
      <c r="B54" s="391"/>
      <c r="C54" s="159" t="s">
        <v>162</v>
      </c>
      <c r="D54" s="439"/>
      <c r="E54" s="431"/>
      <c r="F54" s="33"/>
      <c r="G54" s="33"/>
      <c r="H54" s="33"/>
      <c r="I54" s="44">
        <v>1</v>
      </c>
      <c r="J54" s="185"/>
    </row>
    <row r="55" spans="1:10" ht="13.5" thickBot="1">
      <c r="A55" s="184"/>
      <c r="B55" s="392"/>
      <c r="C55" s="86"/>
      <c r="D55" s="440"/>
      <c r="E55" s="441"/>
      <c r="F55" s="87"/>
      <c r="G55" s="87"/>
      <c r="H55" s="87"/>
      <c r="I55" s="88">
        <f>I54*E53</f>
        <v>201.84</v>
      </c>
      <c r="J55" s="185"/>
    </row>
    <row r="56" spans="1:10" ht="13.5" thickTop="1">
      <c r="A56" s="184"/>
      <c r="B56" s="442" t="s">
        <v>16</v>
      </c>
      <c r="C56" s="443"/>
      <c r="D56" s="52">
        <v>0</v>
      </c>
      <c r="E56" s="52">
        <v>0</v>
      </c>
      <c r="F56" s="36">
        <f>SUM(F16,F19,F22,F25,F28,F31,F34)</f>
        <v>91883.234999999986</v>
      </c>
      <c r="G56" s="36">
        <f>SUM(G34+G52,G49,G46,G40,G37,G13)</f>
        <v>49140.436999999998</v>
      </c>
      <c r="H56" s="36">
        <f>SUM(H52,H49,H46,H43,H13)</f>
        <v>21406.734</v>
      </c>
      <c r="I56" s="36">
        <f>SUM(I55,I52,I49,I46,I43,I13)</f>
        <v>22705.603999999999</v>
      </c>
      <c r="J56" s="185"/>
    </row>
    <row r="57" spans="1:10">
      <c r="A57" s="184"/>
      <c r="B57" s="442" t="s">
        <v>17</v>
      </c>
      <c r="C57" s="443"/>
      <c r="D57" s="53">
        <f>SUM(D11:D56)</f>
        <v>1.0000200000000001</v>
      </c>
      <c r="E57" s="54">
        <f>SUM(E11:E55)</f>
        <v>185136.00999999995</v>
      </c>
      <c r="F57" s="55">
        <f>+F56</f>
        <v>91883.234999999986</v>
      </c>
      <c r="G57" s="55">
        <f>+F57+G56</f>
        <v>141023.67199999999</v>
      </c>
      <c r="H57" s="55">
        <f>+G57+H56</f>
        <v>162430.40599999999</v>
      </c>
      <c r="I57" s="55">
        <f>+H57+I56</f>
        <v>185136.00999999998</v>
      </c>
      <c r="J57" s="185"/>
    </row>
    <row r="58" spans="1:10">
      <c r="A58" s="184"/>
      <c r="B58" s="189"/>
      <c r="C58" s="189"/>
      <c r="D58" s="189"/>
      <c r="E58" s="189"/>
      <c r="F58" s="189"/>
      <c r="G58" s="189"/>
      <c r="H58" s="189"/>
      <c r="I58" s="189"/>
      <c r="J58" s="185"/>
    </row>
    <row r="59" spans="1:10">
      <c r="A59" s="184"/>
      <c r="B59" s="189" t="s">
        <v>342</v>
      </c>
      <c r="C59" s="190"/>
      <c r="D59" s="190"/>
      <c r="E59" s="190"/>
      <c r="F59" s="189"/>
      <c r="G59" s="189"/>
      <c r="H59" s="189"/>
      <c r="I59" s="189"/>
      <c r="J59" s="185"/>
    </row>
    <row r="60" spans="1:10">
      <c r="A60" s="184"/>
      <c r="B60" s="189"/>
      <c r="C60" s="297" t="s">
        <v>343</v>
      </c>
      <c r="D60" s="189"/>
      <c r="E60" s="189"/>
      <c r="F60" s="191"/>
      <c r="G60" s="191"/>
      <c r="H60" s="189"/>
      <c r="I60" s="189"/>
      <c r="J60" s="185"/>
    </row>
    <row r="61" spans="1:10">
      <c r="A61" s="184"/>
      <c r="B61" s="25"/>
      <c r="C61" s="25"/>
      <c r="D61" s="25"/>
      <c r="E61" s="25"/>
      <c r="F61" s="25"/>
      <c r="G61" s="25"/>
      <c r="H61" s="25"/>
      <c r="I61" s="25"/>
      <c r="J61" s="185"/>
    </row>
    <row r="62" spans="1:10" ht="13.5" thickBot="1">
      <c r="A62" s="186"/>
      <c r="B62" s="27"/>
      <c r="C62" s="27"/>
      <c r="D62" s="27"/>
      <c r="E62" s="444"/>
      <c r="F62" s="444"/>
      <c r="G62" s="444"/>
      <c r="H62" s="27"/>
      <c r="I62" s="27"/>
      <c r="J62" s="187"/>
    </row>
    <row r="63" spans="1:10">
      <c r="D63" s="25"/>
      <c r="E63" s="445"/>
      <c r="F63" s="445"/>
      <c r="G63" s="445"/>
      <c r="H63" s="25"/>
    </row>
    <row r="64" spans="1:10">
      <c r="E64" s="438"/>
      <c r="F64" s="438"/>
      <c r="G64" s="438"/>
    </row>
  </sheetData>
  <mergeCells count="88">
    <mergeCell ref="E64:G64"/>
    <mergeCell ref="D53:D55"/>
    <mergeCell ref="E53:E55"/>
    <mergeCell ref="B56:C56"/>
    <mergeCell ref="B57:C57"/>
    <mergeCell ref="E62:G62"/>
    <mergeCell ref="E63:G63"/>
    <mergeCell ref="B53:B55"/>
    <mergeCell ref="B14:B16"/>
    <mergeCell ref="C17:C19"/>
    <mergeCell ref="C23:C25"/>
    <mergeCell ref="E35:E37"/>
    <mergeCell ref="D35:D37"/>
    <mergeCell ref="D29:D31"/>
    <mergeCell ref="E29:E31"/>
    <mergeCell ref="B23:B25"/>
    <mergeCell ref="C20:C22"/>
    <mergeCell ref="B26:B28"/>
    <mergeCell ref="C26:C28"/>
    <mergeCell ref="D23:D25"/>
    <mergeCell ref="E23:E25"/>
    <mergeCell ref="B35:B37"/>
    <mergeCell ref="C35:C37"/>
    <mergeCell ref="B29:B31"/>
    <mergeCell ref="H9:H10"/>
    <mergeCell ref="I9:I10"/>
    <mergeCell ref="C14:C16"/>
    <mergeCell ref="B17:B19"/>
    <mergeCell ref="D20:D22"/>
    <mergeCell ref="E20:E22"/>
    <mergeCell ref="G20:G22"/>
    <mergeCell ref="B9:B10"/>
    <mergeCell ref="C9:C10"/>
    <mergeCell ref="D9:D10"/>
    <mergeCell ref="F9:F10"/>
    <mergeCell ref="G9:G10"/>
    <mergeCell ref="D11:D13"/>
    <mergeCell ref="E11:E13"/>
    <mergeCell ref="H20:H22"/>
    <mergeCell ref="B20:B22"/>
    <mergeCell ref="G23:G25"/>
    <mergeCell ref="H23:H25"/>
    <mergeCell ref="D17:D19"/>
    <mergeCell ref="E17:E19"/>
    <mergeCell ref="E47:E49"/>
    <mergeCell ref="E32:E34"/>
    <mergeCell ref="H35:H37"/>
    <mergeCell ref="D26:D28"/>
    <mergeCell ref="E26:E28"/>
    <mergeCell ref="G26:G28"/>
    <mergeCell ref="G29:G31"/>
    <mergeCell ref="H29:H31"/>
    <mergeCell ref="H26:H28"/>
    <mergeCell ref="C29:C31"/>
    <mergeCell ref="E50:E52"/>
    <mergeCell ref="B47:B49"/>
    <mergeCell ref="B50:B52"/>
    <mergeCell ref="C50:C52"/>
    <mergeCell ref="D50:D52"/>
    <mergeCell ref="C47:C49"/>
    <mergeCell ref="D47:D49"/>
    <mergeCell ref="B38:B40"/>
    <mergeCell ref="C38:C40"/>
    <mergeCell ref="D38:D40"/>
    <mergeCell ref="B32:B34"/>
    <mergeCell ref="C32:C34"/>
    <mergeCell ref="D32:D34"/>
    <mergeCell ref="B7:I7"/>
    <mergeCell ref="G41:G43"/>
    <mergeCell ref="D41:D43"/>
    <mergeCell ref="B44:B46"/>
    <mergeCell ref="C44:C46"/>
    <mergeCell ref="D44:D46"/>
    <mergeCell ref="E44:E46"/>
    <mergeCell ref="B41:B43"/>
    <mergeCell ref="C41:C43"/>
    <mergeCell ref="E41:E43"/>
    <mergeCell ref="E38:E40"/>
    <mergeCell ref="H38:H40"/>
    <mergeCell ref="D14:D16"/>
    <mergeCell ref="E14:E16"/>
    <mergeCell ref="B11:B13"/>
    <mergeCell ref="C11:C13"/>
    <mergeCell ref="B2:I2"/>
    <mergeCell ref="B4:I4"/>
    <mergeCell ref="B5:I5"/>
    <mergeCell ref="B6:G6"/>
    <mergeCell ref="H6:I6"/>
  </mergeCells>
  <printOptions horizontalCentered="1"/>
  <pageMargins left="0.39370078740157483" right="0.11811023622047245" top="1.1417322834645669" bottom="0.43307086614173229" header="0" footer="0.31496062992125984"/>
  <pageSetup paperSize="9" scale="75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J60"/>
  <sheetViews>
    <sheetView view="pageBreakPreview" zoomScaleSheetLayoutView="100" workbookViewId="0">
      <selection activeCell="F8" sqref="F8"/>
    </sheetView>
  </sheetViews>
  <sheetFormatPr defaultRowHeight="12.75"/>
  <cols>
    <col min="2" max="2" width="0.7109375" customWidth="1"/>
    <col min="3" max="3" width="21.85546875" customWidth="1"/>
    <col min="4" max="4" width="54.140625" bestFit="1" customWidth="1"/>
    <col min="5" max="5" width="15" customWidth="1"/>
    <col min="6" max="6" width="38.42578125" customWidth="1"/>
    <col min="7" max="7" width="11.5703125" bestFit="1" customWidth="1"/>
    <col min="8" max="8" width="11.42578125" customWidth="1"/>
    <col min="9" max="9" width="0.7109375" customWidth="1"/>
  </cols>
  <sheetData>
    <row r="1" spans="2:10" ht="18.75" customHeight="1" thickBot="1"/>
    <row r="2" spans="2:10" ht="3.75" customHeight="1" thickBot="1">
      <c r="B2" s="172"/>
      <c r="C2" s="173"/>
      <c r="D2" s="173"/>
      <c r="E2" s="174"/>
      <c r="F2" s="173"/>
      <c r="G2" s="173"/>
      <c r="H2" s="173"/>
      <c r="I2" s="175"/>
      <c r="J2" s="128"/>
    </row>
    <row r="3" spans="2:10" ht="22.5" customHeight="1">
      <c r="B3" s="176"/>
      <c r="C3" s="462" t="s">
        <v>124</v>
      </c>
      <c r="D3" s="463"/>
      <c r="E3" s="463"/>
      <c r="F3" s="463"/>
      <c r="G3" s="463"/>
      <c r="H3" s="464"/>
      <c r="I3" s="177"/>
      <c r="J3" s="128"/>
    </row>
    <row r="4" spans="2:10" ht="16.5" customHeight="1">
      <c r="B4" s="176"/>
      <c r="C4" s="465" t="str">
        <f>ORCAMENTO!B5</f>
        <v>REGULARIZAÇÃO E REFORMA DO CENTRO MUNICIPAL DE SAÚDE - ANEXO LAVANDERIA</v>
      </c>
      <c r="D4" s="466"/>
      <c r="E4" s="466"/>
      <c r="F4" s="466"/>
      <c r="G4" s="466"/>
      <c r="H4" s="467"/>
      <c r="I4" s="177"/>
      <c r="J4" s="128"/>
    </row>
    <row r="5" spans="2:10" ht="13.5" thickBot="1">
      <c r="B5" s="176"/>
      <c r="C5" s="468" t="s">
        <v>349</v>
      </c>
      <c r="D5" s="469"/>
      <c r="E5" s="469"/>
      <c r="F5" s="469"/>
      <c r="G5" s="469"/>
      <c r="H5" s="470"/>
      <c r="I5" s="177"/>
      <c r="J5" s="128"/>
    </row>
    <row r="6" spans="2:10" ht="6" customHeight="1" thickBot="1">
      <c r="B6" s="176"/>
      <c r="C6" s="60"/>
      <c r="D6" s="60"/>
      <c r="E6" s="129"/>
      <c r="F6" s="60"/>
      <c r="G6" s="60"/>
      <c r="H6" s="60"/>
      <c r="I6" s="177"/>
      <c r="J6" s="128"/>
    </row>
    <row r="7" spans="2:10">
      <c r="B7" s="176"/>
      <c r="C7" s="133" t="s">
        <v>254</v>
      </c>
      <c r="D7" s="458" t="s">
        <v>280</v>
      </c>
      <c r="E7" s="458"/>
      <c r="F7" s="458"/>
      <c r="G7" s="458"/>
      <c r="H7" s="134" t="s">
        <v>73</v>
      </c>
      <c r="I7" s="178"/>
    </row>
    <row r="8" spans="2:10" ht="25.5">
      <c r="B8" s="176"/>
      <c r="C8" s="135" t="s">
        <v>199</v>
      </c>
      <c r="D8" s="130" t="s">
        <v>126</v>
      </c>
      <c r="E8" s="130" t="s">
        <v>73</v>
      </c>
      <c r="F8" s="130" t="s">
        <v>127</v>
      </c>
      <c r="G8" s="131" t="s">
        <v>132</v>
      </c>
      <c r="H8" s="132" t="s">
        <v>133</v>
      </c>
      <c r="I8" s="178"/>
    </row>
    <row r="9" spans="2:10" ht="25.5">
      <c r="B9" s="176"/>
      <c r="C9" s="155">
        <v>38195</v>
      </c>
      <c r="D9" s="156" t="s">
        <v>204</v>
      </c>
      <c r="E9" s="155" t="s">
        <v>125</v>
      </c>
      <c r="F9" s="228">
        <v>0.188</v>
      </c>
      <c r="G9" s="157">
        <v>46.53</v>
      </c>
      <c r="H9" s="157">
        <f>ROUND(G9*F9,2)</f>
        <v>8.75</v>
      </c>
      <c r="I9" s="178"/>
    </row>
    <row r="10" spans="2:10">
      <c r="B10" s="176"/>
      <c r="C10" s="155">
        <v>1381</v>
      </c>
      <c r="D10" s="229" t="s">
        <v>200</v>
      </c>
      <c r="E10" s="155" t="s">
        <v>67</v>
      </c>
      <c r="F10" s="228">
        <v>0.60299999999999998</v>
      </c>
      <c r="G10" s="157">
        <v>0.55000000000000004</v>
      </c>
      <c r="H10" s="157">
        <f t="shared" ref="H10:H13" si="0">ROUND(G10*F10,2)</f>
        <v>0.33</v>
      </c>
      <c r="I10" s="178"/>
    </row>
    <row r="11" spans="2:10">
      <c r="B11" s="176"/>
      <c r="C11" s="155">
        <v>34357</v>
      </c>
      <c r="D11" s="229" t="s">
        <v>201</v>
      </c>
      <c r="E11" s="155" t="s">
        <v>67</v>
      </c>
      <c r="F11" s="228">
        <v>8.4000000000000005E-2</v>
      </c>
      <c r="G11" s="157">
        <v>3.5</v>
      </c>
      <c r="H11" s="157">
        <f t="shared" si="0"/>
        <v>0.28999999999999998</v>
      </c>
      <c r="I11" s="178"/>
    </row>
    <row r="12" spans="2:10" ht="25.5">
      <c r="B12" s="176"/>
      <c r="C12" s="230">
        <v>88256</v>
      </c>
      <c r="D12" s="229" t="s">
        <v>202</v>
      </c>
      <c r="E12" s="155" t="s">
        <v>129</v>
      </c>
      <c r="F12" s="228">
        <v>8.5000000000000006E-2</v>
      </c>
      <c r="G12" s="157">
        <v>17.420000000000002</v>
      </c>
      <c r="H12" s="157">
        <f t="shared" si="0"/>
        <v>1.48</v>
      </c>
      <c r="I12" s="178"/>
    </row>
    <row r="13" spans="2:10" ht="13.5" thickBot="1">
      <c r="B13" s="176"/>
      <c r="C13" s="230">
        <v>88316</v>
      </c>
      <c r="D13" s="229" t="s">
        <v>136</v>
      </c>
      <c r="E13" s="155" t="s">
        <v>129</v>
      </c>
      <c r="F13" s="228">
        <v>3.1E-2</v>
      </c>
      <c r="G13" s="157">
        <v>14.19</v>
      </c>
      <c r="H13" s="157">
        <f t="shared" si="0"/>
        <v>0.44</v>
      </c>
      <c r="I13" s="178"/>
    </row>
    <row r="14" spans="2:10" ht="16.5" thickBot="1">
      <c r="B14" s="176"/>
      <c r="C14" s="460" t="s">
        <v>203</v>
      </c>
      <c r="D14" s="460"/>
      <c r="E14" s="460"/>
      <c r="F14" s="461"/>
      <c r="G14" s="142" t="s">
        <v>130</v>
      </c>
      <c r="H14" s="143">
        <f>ROUND(SUM(H9:H13),2)</f>
        <v>11.29</v>
      </c>
      <c r="I14" s="178"/>
    </row>
    <row r="15" spans="2:10" ht="9" customHeight="1" thickBot="1">
      <c r="B15" s="176"/>
      <c r="C15" s="60"/>
      <c r="D15" s="60"/>
      <c r="E15" s="60"/>
      <c r="F15" s="60"/>
      <c r="G15" s="60"/>
      <c r="H15" s="60"/>
      <c r="I15" s="178"/>
    </row>
    <row r="16" spans="2:10">
      <c r="B16" s="176"/>
      <c r="C16" s="133" t="s">
        <v>131</v>
      </c>
      <c r="D16" s="458" t="s">
        <v>253</v>
      </c>
      <c r="E16" s="458"/>
      <c r="F16" s="458"/>
      <c r="G16" s="458"/>
      <c r="H16" s="134" t="s">
        <v>73</v>
      </c>
      <c r="I16" s="178"/>
    </row>
    <row r="17" spans="2:9" ht="25.5">
      <c r="B17" s="176"/>
      <c r="C17" s="135" t="s">
        <v>150</v>
      </c>
      <c r="D17" s="130" t="s">
        <v>126</v>
      </c>
      <c r="E17" s="130" t="s">
        <v>73</v>
      </c>
      <c r="F17" s="130" t="s">
        <v>127</v>
      </c>
      <c r="G17" s="131" t="s">
        <v>132</v>
      </c>
      <c r="H17" s="132" t="s">
        <v>133</v>
      </c>
      <c r="I17" s="178"/>
    </row>
    <row r="18" spans="2:9">
      <c r="B18" s="176"/>
      <c r="C18" s="232" t="s">
        <v>251</v>
      </c>
      <c r="D18" s="231" t="s">
        <v>252</v>
      </c>
      <c r="E18" s="232" t="s">
        <v>55</v>
      </c>
      <c r="F18" s="228">
        <v>2.7</v>
      </c>
      <c r="G18" s="157">
        <v>106.25</v>
      </c>
      <c r="H18" s="157">
        <f>G18*F18</f>
        <v>286.875</v>
      </c>
      <c r="I18" s="178"/>
    </row>
    <row r="19" spans="2:9">
      <c r="B19" s="176"/>
      <c r="C19" s="155">
        <v>12547</v>
      </c>
      <c r="D19" s="231" t="s">
        <v>249</v>
      </c>
      <c r="E19" s="232" t="s">
        <v>247</v>
      </c>
      <c r="F19" s="228">
        <v>6</v>
      </c>
      <c r="G19" s="157">
        <v>98</v>
      </c>
      <c r="H19" s="157">
        <f t="shared" ref="H19:H21" si="1">G19*F19</f>
        <v>588</v>
      </c>
      <c r="I19" s="178"/>
    </row>
    <row r="20" spans="2:9" ht="39" customHeight="1">
      <c r="B20" s="176"/>
      <c r="C20" s="233">
        <v>94963</v>
      </c>
      <c r="D20" s="234" t="s">
        <v>250</v>
      </c>
      <c r="E20" s="235" t="s">
        <v>55</v>
      </c>
      <c r="F20" s="236">
        <v>0.189</v>
      </c>
      <c r="G20" s="237">
        <v>283.10000000000002</v>
      </c>
      <c r="H20" s="237">
        <f t="shared" si="1"/>
        <v>53.505900000000004</v>
      </c>
      <c r="I20" s="178"/>
    </row>
    <row r="21" spans="2:9" ht="30" customHeight="1" thickBot="1">
      <c r="B21" s="176"/>
      <c r="C21" s="230">
        <v>93358</v>
      </c>
      <c r="D21" s="238" t="s">
        <v>120</v>
      </c>
      <c r="E21" s="232" t="s">
        <v>55</v>
      </c>
      <c r="F21" s="228">
        <v>5.0999999999999996</v>
      </c>
      <c r="G21" s="157">
        <v>56.13</v>
      </c>
      <c r="H21" s="157">
        <f t="shared" si="1"/>
        <v>286.26299999999998</v>
      </c>
      <c r="I21" s="178"/>
    </row>
    <row r="22" spans="2:9" ht="16.5" thickBot="1">
      <c r="B22" s="176"/>
      <c r="C22" s="459" t="s">
        <v>248</v>
      </c>
      <c r="D22" s="460"/>
      <c r="E22" s="460"/>
      <c r="F22" s="461"/>
      <c r="G22" s="142" t="s">
        <v>130</v>
      </c>
      <c r="H22" s="143">
        <f>TRUNC(SUM(H18:H21),2)</f>
        <v>1214.6400000000001</v>
      </c>
      <c r="I22" s="178"/>
    </row>
    <row r="23" spans="2:9" ht="18.75" customHeight="1" thickBot="1">
      <c r="B23" s="176"/>
      <c r="C23" s="454" t="s">
        <v>209</v>
      </c>
      <c r="D23" s="455"/>
      <c r="E23" s="455"/>
      <c r="F23" s="455"/>
      <c r="G23" s="455"/>
      <c r="H23" s="455"/>
      <c r="I23" s="178"/>
    </row>
    <row r="24" spans="2:9" ht="13.5" thickBot="1">
      <c r="B24" s="176"/>
      <c r="C24" s="171" t="s">
        <v>161</v>
      </c>
      <c r="D24" s="448" t="s">
        <v>206</v>
      </c>
      <c r="E24" s="458"/>
      <c r="F24" s="458"/>
      <c r="G24" s="458"/>
      <c r="H24" s="134" t="s">
        <v>73</v>
      </c>
      <c r="I24" s="178"/>
    </row>
    <row r="25" spans="2:9" ht="25.5">
      <c r="B25" s="176"/>
      <c r="C25" s="170" t="s">
        <v>150</v>
      </c>
      <c r="D25" s="130" t="s">
        <v>126</v>
      </c>
      <c r="E25" s="130" t="s">
        <v>73</v>
      </c>
      <c r="F25" s="130" t="s">
        <v>127</v>
      </c>
      <c r="G25" s="131" t="s">
        <v>132</v>
      </c>
      <c r="H25" s="132" t="s">
        <v>133</v>
      </c>
      <c r="I25" s="178"/>
    </row>
    <row r="26" spans="2:9">
      <c r="B26" s="176"/>
      <c r="C26" s="449" t="s">
        <v>134</v>
      </c>
      <c r="D26" s="450"/>
      <c r="E26" s="450"/>
      <c r="F26" s="450"/>
      <c r="G26" s="450"/>
      <c r="H26" s="451"/>
      <c r="I26" s="178"/>
    </row>
    <row r="27" spans="2:9" ht="27.75" customHeight="1">
      <c r="B27" s="176"/>
      <c r="C27" s="144">
        <v>39465</v>
      </c>
      <c r="D27" s="145" t="s">
        <v>207</v>
      </c>
      <c r="E27" s="144" t="s">
        <v>2</v>
      </c>
      <c r="F27" s="146">
        <v>1</v>
      </c>
      <c r="G27" s="147">
        <v>47.37</v>
      </c>
      <c r="H27" s="148">
        <f>ROUND(F27*G27,2)</f>
        <v>47.37</v>
      </c>
      <c r="I27" s="178"/>
    </row>
    <row r="28" spans="2:9">
      <c r="B28" s="176"/>
      <c r="C28" s="449" t="s">
        <v>128</v>
      </c>
      <c r="D28" s="450"/>
      <c r="E28" s="450"/>
      <c r="F28" s="450"/>
      <c r="G28" s="450"/>
      <c r="H28" s="451"/>
      <c r="I28" s="178"/>
    </row>
    <row r="29" spans="2:9">
      <c r="B29" s="176"/>
      <c r="C29" s="144">
        <v>88264</v>
      </c>
      <c r="D29" s="149" t="s">
        <v>137</v>
      </c>
      <c r="E29" s="138" t="s">
        <v>129</v>
      </c>
      <c r="F29" s="139">
        <v>0.3</v>
      </c>
      <c r="G29" s="140">
        <v>18.100000000000001</v>
      </c>
      <c r="H29" s="148">
        <f>ROUND(F29*G29,2)</f>
        <v>5.43</v>
      </c>
      <c r="I29" s="178"/>
    </row>
    <row r="30" spans="2:9" ht="13.5" thickBot="1">
      <c r="B30" s="176"/>
      <c r="C30" s="137" t="s">
        <v>135</v>
      </c>
      <c r="D30" s="136" t="s">
        <v>136</v>
      </c>
      <c r="E30" s="138" t="s">
        <v>129</v>
      </c>
      <c r="F30" s="139">
        <v>0.3</v>
      </c>
      <c r="G30" s="150">
        <v>14.19</v>
      </c>
      <c r="H30" s="148">
        <f>ROUND(F30*G30,2)</f>
        <v>4.26</v>
      </c>
      <c r="I30" s="178"/>
    </row>
    <row r="31" spans="2:9" ht="16.5" thickBot="1">
      <c r="B31" s="176"/>
      <c r="C31" s="456" t="s">
        <v>138</v>
      </c>
      <c r="D31" s="456"/>
      <c r="E31" s="456"/>
      <c r="F31" s="457"/>
      <c r="G31" s="142" t="s">
        <v>130</v>
      </c>
      <c r="H31" s="143">
        <f>SUM(H27:H30)</f>
        <v>57.059999999999995</v>
      </c>
      <c r="I31" s="178"/>
    </row>
    <row r="32" spans="2:9" ht="7.5" customHeight="1" thickBot="1">
      <c r="B32" s="176"/>
      <c r="C32" s="60"/>
      <c r="D32" s="60"/>
      <c r="E32" s="129"/>
      <c r="F32" s="60"/>
      <c r="G32" s="60"/>
      <c r="H32" s="60"/>
      <c r="I32" s="178"/>
    </row>
    <row r="33" spans="2:9" ht="13.5" thickBot="1">
      <c r="B33" s="176"/>
      <c r="C33" s="171" t="s">
        <v>208</v>
      </c>
      <c r="D33" s="458" t="s">
        <v>288</v>
      </c>
      <c r="E33" s="458"/>
      <c r="F33" s="458"/>
      <c r="G33" s="458"/>
      <c r="H33" s="134" t="s">
        <v>73</v>
      </c>
      <c r="I33" s="178"/>
    </row>
    <row r="34" spans="2:9" ht="25.5">
      <c r="B34" s="176"/>
      <c r="C34" s="135" t="s">
        <v>150</v>
      </c>
      <c r="D34" s="130" t="s">
        <v>126</v>
      </c>
      <c r="E34" s="130" t="s">
        <v>73</v>
      </c>
      <c r="F34" s="130" t="s">
        <v>127</v>
      </c>
      <c r="G34" s="131" t="s">
        <v>132</v>
      </c>
      <c r="H34" s="132" t="s">
        <v>133</v>
      </c>
      <c r="I34" s="178"/>
    </row>
    <row r="35" spans="2:9">
      <c r="B35" s="176"/>
      <c r="C35" s="449" t="s">
        <v>134</v>
      </c>
      <c r="D35" s="450"/>
      <c r="E35" s="450"/>
      <c r="F35" s="450"/>
      <c r="G35" s="450"/>
      <c r="H35" s="451"/>
      <c r="I35" s="178"/>
    </row>
    <row r="36" spans="2:9" ht="25.5">
      <c r="B36" s="176"/>
      <c r="C36" s="144">
        <v>39456</v>
      </c>
      <c r="D36" s="145" t="s">
        <v>288</v>
      </c>
      <c r="E36" s="144" t="s">
        <v>2</v>
      </c>
      <c r="F36" s="151">
        <v>1</v>
      </c>
      <c r="G36" s="152">
        <v>115.15</v>
      </c>
      <c r="H36" s="153">
        <f>TRUNC(F36*G36,2)</f>
        <v>115.15</v>
      </c>
      <c r="I36" s="178"/>
    </row>
    <row r="37" spans="2:9">
      <c r="B37" s="176"/>
      <c r="C37" s="449" t="s">
        <v>128</v>
      </c>
      <c r="D37" s="450"/>
      <c r="E37" s="450"/>
      <c r="F37" s="450"/>
      <c r="G37" s="450"/>
      <c r="H37" s="451"/>
      <c r="I37" s="178"/>
    </row>
    <row r="38" spans="2:9">
      <c r="B38" s="176"/>
      <c r="C38" s="144">
        <v>88264</v>
      </c>
      <c r="D38" s="149" t="s">
        <v>137</v>
      </c>
      <c r="E38" s="138" t="s">
        <v>129</v>
      </c>
      <c r="F38" s="139">
        <v>0.6</v>
      </c>
      <c r="G38" s="140">
        <v>18.100000000000001</v>
      </c>
      <c r="H38" s="141">
        <f>TRUNC(F38*G38,2)</f>
        <v>10.86</v>
      </c>
      <c r="I38" s="178"/>
    </row>
    <row r="39" spans="2:9" ht="13.5" thickBot="1">
      <c r="B39" s="176"/>
      <c r="C39" s="137" t="s">
        <v>135</v>
      </c>
      <c r="D39" s="136" t="s">
        <v>136</v>
      </c>
      <c r="E39" s="138" t="s">
        <v>129</v>
      </c>
      <c r="F39" s="139">
        <v>0.6</v>
      </c>
      <c r="G39" s="150">
        <v>14.19</v>
      </c>
      <c r="H39" s="141">
        <f>TRUNC(F39*G39,2)</f>
        <v>8.51</v>
      </c>
      <c r="I39" s="178"/>
    </row>
    <row r="40" spans="2:9" ht="14.25" customHeight="1" thickBot="1">
      <c r="B40" s="176"/>
      <c r="C40" s="456" t="s">
        <v>139</v>
      </c>
      <c r="D40" s="456"/>
      <c r="E40" s="456"/>
      <c r="F40" s="457"/>
      <c r="G40" s="142" t="s">
        <v>130</v>
      </c>
      <c r="H40" s="143">
        <f>SUM(H36:H39)</f>
        <v>134.52000000000001</v>
      </c>
      <c r="I40" s="178"/>
    </row>
    <row r="41" spans="2:9" ht="3.75" customHeight="1" thickBot="1">
      <c r="B41" s="179"/>
      <c r="C41" s="180"/>
      <c r="D41" s="180"/>
      <c r="E41" s="180"/>
      <c r="F41" s="180"/>
      <c r="G41" s="180"/>
      <c r="H41" s="180"/>
      <c r="I41" s="181"/>
    </row>
    <row r="43" spans="2:9" ht="13.5" thickBot="1"/>
    <row r="44" spans="2:9">
      <c r="C44" s="133" t="s">
        <v>297</v>
      </c>
      <c r="D44" s="446" t="s">
        <v>260</v>
      </c>
      <c r="E44" s="447"/>
      <c r="F44" s="447"/>
      <c r="G44" s="448"/>
      <c r="H44" s="134" t="s">
        <v>125</v>
      </c>
    </row>
    <row r="45" spans="2:9" ht="25.5">
      <c r="C45" s="135" t="s">
        <v>199</v>
      </c>
      <c r="D45" s="130" t="s">
        <v>126</v>
      </c>
      <c r="E45" s="130" t="s">
        <v>73</v>
      </c>
      <c r="F45" s="130" t="s">
        <v>127</v>
      </c>
      <c r="G45" s="131" t="s">
        <v>132</v>
      </c>
      <c r="H45" s="132" t="s">
        <v>133</v>
      </c>
    </row>
    <row r="46" spans="2:9">
      <c r="C46" s="449" t="s">
        <v>134</v>
      </c>
      <c r="D46" s="450"/>
      <c r="E46" s="450"/>
      <c r="F46" s="450"/>
      <c r="G46" s="450"/>
      <c r="H46" s="451"/>
    </row>
    <row r="47" spans="2:9" ht="38.25">
      <c r="C47" s="246">
        <v>3736</v>
      </c>
      <c r="D47" s="247" t="s">
        <v>262</v>
      </c>
      <c r="E47" s="233" t="s">
        <v>125</v>
      </c>
      <c r="F47" s="248">
        <v>1</v>
      </c>
      <c r="G47" s="249">
        <v>32.75</v>
      </c>
      <c r="H47" s="250">
        <f>TRUNC(F47*G47,2)</f>
        <v>32.75</v>
      </c>
    </row>
    <row r="48" spans="2:9" ht="25.5">
      <c r="C48" s="251">
        <v>4430</v>
      </c>
      <c r="D48" s="252" t="s">
        <v>263</v>
      </c>
      <c r="E48" s="233" t="s">
        <v>52</v>
      </c>
      <c r="F48" s="253">
        <v>1.71</v>
      </c>
      <c r="G48" s="254">
        <v>5.27</v>
      </c>
      <c r="H48" s="250">
        <f t="shared" ref="H48:H56" si="2">TRUNC(F48*G48,2)</f>
        <v>9.01</v>
      </c>
    </row>
    <row r="49" spans="3:8" ht="25.5">
      <c r="C49" s="251">
        <v>4517</v>
      </c>
      <c r="D49" s="255" t="s">
        <v>264</v>
      </c>
      <c r="E49" s="233" t="s">
        <v>52</v>
      </c>
      <c r="F49" s="253">
        <v>0.97</v>
      </c>
      <c r="G49" s="254">
        <v>1.19</v>
      </c>
      <c r="H49" s="250">
        <f t="shared" si="2"/>
        <v>1.1499999999999999</v>
      </c>
    </row>
    <row r="50" spans="3:8" ht="25.5">
      <c r="C50" s="251">
        <v>367</v>
      </c>
      <c r="D50" s="255" t="s">
        <v>265</v>
      </c>
      <c r="E50" s="233" t="s">
        <v>266</v>
      </c>
      <c r="F50" s="253">
        <v>4.9000000000000002E-2</v>
      </c>
      <c r="G50" s="254">
        <v>56.5</v>
      </c>
      <c r="H50" s="250">
        <f t="shared" si="2"/>
        <v>2.76</v>
      </c>
    </row>
    <row r="51" spans="3:8">
      <c r="C51" s="251">
        <v>1379</v>
      </c>
      <c r="D51" s="136" t="s">
        <v>267</v>
      </c>
      <c r="E51" s="233" t="s">
        <v>67</v>
      </c>
      <c r="F51" s="253">
        <v>15</v>
      </c>
      <c r="G51" s="254">
        <v>0.51</v>
      </c>
      <c r="H51" s="250">
        <f t="shared" si="2"/>
        <v>7.65</v>
      </c>
    </row>
    <row r="52" spans="3:8" ht="25.5">
      <c r="C52" s="251">
        <v>4718</v>
      </c>
      <c r="D52" s="255" t="s">
        <v>268</v>
      </c>
      <c r="E52" s="233" t="s">
        <v>266</v>
      </c>
      <c r="F52" s="253">
        <v>3.3000000000000002E-2</v>
      </c>
      <c r="G52" s="254">
        <v>65.27</v>
      </c>
      <c r="H52" s="250">
        <f t="shared" si="2"/>
        <v>2.15</v>
      </c>
    </row>
    <row r="53" spans="3:8" ht="25.5">
      <c r="C53" s="251">
        <v>4721</v>
      </c>
      <c r="D53" s="255" t="s">
        <v>269</v>
      </c>
      <c r="E53" s="233" t="s">
        <v>266</v>
      </c>
      <c r="F53" s="253">
        <v>1.0999999999999999E-2</v>
      </c>
      <c r="G53" s="254">
        <v>65.27</v>
      </c>
      <c r="H53" s="250">
        <f t="shared" si="2"/>
        <v>0.71</v>
      </c>
    </row>
    <row r="54" spans="3:8">
      <c r="C54" s="251">
        <v>5075</v>
      </c>
      <c r="D54" s="136" t="s">
        <v>270</v>
      </c>
      <c r="E54" s="256" t="s">
        <v>67</v>
      </c>
      <c r="F54" s="257">
        <v>0.03</v>
      </c>
      <c r="G54" s="257">
        <v>9.76</v>
      </c>
      <c r="H54" s="250">
        <f t="shared" si="2"/>
        <v>0.28999999999999998</v>
      </c>
    </row>
    <row r="55" spans="3:8" ht="25.5">
      <c r="C55" s="251">
        <v>10567</v>
      </c>
      <c r="D55" s="255" t="s">
        <v>271</v>
      </c>
      <c r="E55" s="256" t="s">
        <v>52</v>
      </c>
      <c r="F55" s="257">
        <v>0.56000000000000005</v>
      </c>
      <c r="G55" s="257">
        <v>4.46</v>
      </c>
      <c r="H55" s="250">
        <f t="shared" si="2"/>
        <v>2.4900000000000002</v>
      </c>
    </row>
    <row r="56" spans="3:8">
      <c r="C56" s="251">
        <v>34449</v>
      </c>
      <c r="D56" s="258" t="s">
        <v>272</v>
      </c>
      <c r="E56" s="256" t="s">
        <v>67</v>
      </c>
      <c r="F56" s="257">
        <v>1.89</v>
      </c>
      <c r="G56" s="257">
        <v>5.33</v>
      </c>
      <c r="H56" s="250">
        <f t="shared" si="2"/>
        <v>10.07</v>
      </c>
    </row>
    <row r="57" spans="3:8">
      <c r="C57" s="449" t="s">
        <v>128</v>
      </c>
      <c r="D57" s="450"/>
      <c r="E57" s="450"/>
      <c r="F57" s="450"/>
      <c r="G57" s="450"/>
      <c r="H57" s="451"/>
    </row>
    <row r="58" spans="3:8">
      <c r="C58" s="259" t="s">
        <v>273</v>
      </c>
      <c r="D58" s="136" t="s">
        <v>274</v>
      </c>
      <c r="E58" s="260" t="s">
        <v>129</v>
      </c>
      <c r="F58" s="139">
        <v>0.44</v>
      </c>
      <c r="G58" s="140">
        <v>17.48</v>
      </c>
      <c r="H58" s="141">
        <f>TRUNC(F58*G58,2)</f>
        <v>7.69</v>
      </c>
    </row>
    <row r="59" spans="3:8" ht="13.5" thickBot="1">
      <c r="C59" s="261" t="s">
        <v>135</v>
      </c>
      <c r="D59" s="262" t="s">
        <v>136</v>
      </c>
      <c r="E59" s="263" t="s">
        <v>129</v>
      </c>
      <c r="F59" s="264">
        <v>1.88</v>
      </c>
      <c r="G59" s="265">
        <v>14.19</v>
      </c>
      <c r="H59" s="266">
        <f>TRUNC(F59*G59,2)</f>
        <v>26.67</v>
      </c>
    </row>
    <row r="60" spans="3:8" ht="16.5" thickBot="1">
      <c r="C60" s="452" t="s">
        <v>275</v>
      </c>
      <c r="D60" s="452"/>
      <c r="E60" s="452"/>
      <c r="F60" s="453"/>
      <c r="G60" s="142" t="s">
        <v>130</v>
      </c>
      <c r="H60" s="143">
        <f>SUM(H47:H59)</f>
        <v>103.39</v>
      </c>
    </row>
  </sheetData>
  <mergeCells count="20">
    <mergeCell ref="D16:G16"/>
    <mergeCell ref="C22:F22"/>
    <mergeCell ref="C3:H3"/>
    <mergeCell ref="C4:H4"/>
    <mergeCell ref="C5:H5"/>
    <mergeCell ref="D7:G7"/>
    <mergeCell ref="C14:F14"/>
    <mergeCell ref="D44:G44"/>
    <mergeCell ref="C46:H46"/>
    <mergeCell ref="C57:H57"/>
    <mergeCell ref="C60:F60"/>
    <mergeCell ref="C23:H23"/>
    <mergeCell ref="C37:H37"/>
    <mergeCell ref="C40:F40"/>
    <mergeCell ref="D24:G24"/>
    <mergeCell ref="C26:H26"/>
    <mergeCell ref="C28:H28"/>
    <mergeCell ref="C31:F31"/>
    <mergeCell ref="D33:G33"/>
    <mergeCell ref="C35:H3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ORCAMENTO</vt:lpstr>
      <vt:lpstr>RESUMO</vt:lpstr>
      <vt:lpstr>CRONOGRAMA</vt:lpstr>
      <vt:lpstr>COMPOSIÇÃO</vt:lpstr>
      <vt:lpstr>COMPOSIÇÃO!Area_de_impressao</vt:lpstr>
      <vt:lpstr>CRONOGRAMA!Area_de_impressao</vt:lpstr>
      <vt:lpstr>ORCAMENTO!Area_de_impressao</vt:lpstr>
      <vt:lpstr>RESUMO!Area_de_impressao</vt:lpstr>
      <vt:lpstr>COMPOSIÇÃO!Titulos_de_impressao</vt:lpstr>
      <vt:lpstr>CRONOGRAMA!Titulos_de_impressao</vt:lpstr>
      <vt:lpstr>ORCAMENTO!Titulos_de_impressao</vt:lpstr>
      <vt:lpstr>RESUMO!Titulos_de_impressao</vt:lpstr>
    </vt:vector>
  </TitlesOfParts>
  <Company>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Engenharia PMSAL</cp:lastModifiedBy>
  <cp:lastPrinted>2018-10-02T21:13:44Z</cp:lastPrinted>
  <dcterms:created xsi:type="dcterms:W3CDTF">1998-04-12T12:31:25Z</dcterms:created>
  <dcterms:modified xsi:type="dcterms:W3CDTF">2018-10-23T14:13:57Z</dcterms:modified>
</cp:coreProperties>
</file>