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75" windowWidth="9180" windowHeight="3480" tabRatio="601" activeTab="3"/>
  </bookViews>
  <sheets>
    <sheet name="RESUMO" sheetId="22" r:id="rId1"/>
    <sheet name="planilha de orçamento" sheetId="19" r:id="rId2"/>
    <sheet name="CRON" sheetId="21" r:id="rId3"/>
    <sheet name="COMPOSIÇÕES" sheetId="24" r:id="rId4"/>
    <sheet name="INCC" sheetId="23" r:id="rId5"/>
  </sheets>
  <definedNames>
    <definedName name="_xlnm.Print_Area" localSheetId="3">COMPOSIÇÕES!$B$2:$G$80</definedName>
    <definedName name="_xlnm.Print_Area" localSheetId="1">'planilha de orçamento'!$B$2:$I$155</definedName>
    <definedName name="_xlnm.Print_Area" localSheetId="0">RESUMO!$B$2:$E$53</definedName>
    <definedName name="_xlnm.Print_Titles" localSheetId="2">CRON!$1:$6</definedName>
    <definedName name="_xlnm.Print_Titles" localSheetId="1">'planilha de orçamento'!$B:$I,'planilha de orçamento'!$2:$14</definedName>
    <definedName name="_xlnm.Print_Titles" localSheetId="0">RESUMO!$1:$5</definedName>
  </definedNames>
  <calcPr calcId="124519"/>
</workbook>
</file>

<file path=xl/calcChain.xml><?xml version="1.0" encoding="utf-8"?>
<calcChain xmlns="http://schemas.openxmlformats.org/spreadsheetml/2006/main">
  <c r="G150" i="19"/>
  <c r="H150" s="1"/>
  <c r="I150" s="1"/>
  <c r="G141"/>
  <c r="G140"/>
  <c r="H140" s="1"/>
  <c r="I140" s="1"/>
  <c r="G86"/>
  <c r="G80"/>
  <c r="G51"/>
  <c r="G16"/>
  <c r="H16" s="1"/>
  <c r="I16" s="1"/>
  <c r="I17" s="1"/>
  <c r="G79" i="24"/>
  <c r="G78"/>
  <c r="G76"/>
  <c r="G75"/>
  <c r="G74"/>
  <c r="G73"/>
  <c r="G72"/>
  <c r="G66"/>
  <c r="G65"/>
  <c r="G63"/>
  <c r="G57"/>
  <c r="G56"/>
  <c r="G54"/>
  <c r="G47"/>
  <c r="G46"/>
  <c r="G44"/>
  <c r="G43"/>
  <c r="G42"/>
  <c r="G36"/>
  <c r="G35"/>
  <c r="G33"/>
  <c r="G28"/>
  <c r="G27"/>
  <c r="G25"/>
  <c r="G24"/>
  <c r="G23"/>
  <c r="G22"/>
  <c r="G21"/>
  <c r="G20"/>
  <c r="G19"/>
  <c r="G18"/>
  <c r="G17"/>
  <c r="G16"/>
  <c r="G10"/>
  <c r="G9"/>
  <c r="G11" s="1"/>
  <c r="H54" i="19"/>
  <c r="B5" i="22"/>
  <c r="E5"/>
  <c r="H48" i="19"/>
  <c r="I48" s="1"/>
  <c r="H49"/>
  <c r="I49" s="1"/>
  <c r="H50"/>
  <c r="I50" s="1"/>
  <c r="H51"/>
  <c r="I51" s="1"/>
  <c r="H47"/>
  <c r="I47" s="1"/>
  <c r="H40"/>
  <c r="H41"/>
  <c r="I41" s="1"/>
  <c r="H42"/>
  <c r="H43"/>
  <c r="I43" s="1"/>
  <c r="H44"/>
  <c r="H45"/>
  <c r="I45" s="1"/>
  <c r="H39"/>
  <c r="I39" s="1"/>
  <c r="H30"/>
  <c r="H31"/>
  <c r="I31" s="1"/>
  <c r="H32"/>
  <c r="I32" s="1"/>
  <c r="H33"/>
  <c r="I33" s="1"/>
  <c r="H34"/>
  <c r="I34"/>
  <c r="H35"/>
  <c r="I35" s="1"/>
  <c r="H36"/>
  <c r="H29"/>
  <c r="I29" s="1"/>
  <c r="H25"/>
  <c r="I25" s="1"/>
  <c r="H26"/>
  <c r="I26" s="1"/>
  <c r="H24"/>
  <c r="I24" s="1"/>
  <c r="H126"/>
  <c r="I126" s="1"/>
  <c r="H127"/>
  <c r="I127" s="1"/>
  <c r="H128"/>
  <c r="I128" s="1"/>
  <c r="H129"/>
  <c r="I129" s="1"/>
  <c r="H130"/>
  <c r="I130" s="1"/>
  <c r="H131"/>
  <c r="I131" s="1"/>
  <c r="H132"/>
  <c r="I132" s="1"/>
  <c r="H133"/>
  <c r="I133" s="1"/>
  <c r="H134"/>
  <c r="I134" s="1"/>
  <c r="H135"/>
  <c r="I135" s="1"/>
  <c r="H136"/>
  <c r="I136" s="1"/>
  <c r="H137"/>
  <c r="H138"/>
  <c r="I138" s="1"/>
  <c r="H139"/>
  <c r="I139" s="1"/>
  <c r="H142"/>
  <c r="H143"/>
  <c r="I143" s="1"/>
  <c r="H144"/>
  <c r="I144" s="1"/>
  <c r="H145"/>
  <c r="I145" s="1"/>
  <c r="H146"/>
  <c r="I146" s="1"/>
  <c r="H125"/>
  <c r="I125" s="1"/>
  <c r="G147"/>
  <c r="K146"/>
  <c r="K144"/>
  <c r="K142"/>
  <c r="I142"/>
  <c r="K141"/>
  <c r="K139"/>
  <c r="K138"/>
  <c r="K137"/>
  <c r="I137"/>
  <c r="K136"/>
  <c r="K135"/>
  <c r="K134"/>
  <c r="K133"/>
  <c r="K132"/>
  <c r="K131"/>
  <c r="K130"/>
  <c r="K129"/>
  <c r="K128"/>
  <c r="K126"/>
  <c r="K125"/>
  <c r="K147" s="1"/>
  <c r="J147" s="1"/>
  <c r="G55"/>
  <c r="K54"/>
  <c r="K55" s="1"/>
  <c r="I54"/>
  <c r="I55" s="1"/>
  <c r="G52"/>
  <c r="K51"/>
  <c r="K50"/>
  <c r="K49"/>
  <c r="K48"/>
  <c r="K47"/>
  <c r="K46"/>
  <c r="K45"/>
  <c r="K44"/>
  <c r="I44"/>
  <c r="K43"/>
  <c r="K42"/>
  <c r="I42"/>
  <c r="K41"/>
  <c r="K40"/>
  <c r="I40"/>
  <c r="K39"/>
  <c r="K52"/>
  <c r="J52" s="1"/>
  <c r="G37"/>
  <c r="K36"/>
  <c r="I36"/>
  <c r="K35"/>
  <c r="K34"/>
  <c r="K33"/>
  <c r="K32"/>
  <c r="K31"/>
  <c r="K30"/>
  <c r="K37" s="1"/>
  <c r="J37" s="1"/>
  <c r="I30"/>
  <c r="K29"/>
  <c r="G27"/>
  <c r="K26"/>
  <c r="K25"/>
  <c r="K24"/>
  <c r="K27"/>
  <c r="H149"/>
  <c r="I149" s="1"/>
  <c r="H122"/>
  <c r="H121"/>
  <c r="H111"/>
  <c r="I111" s="1"/>
  <c r="H112"/>
  <c r="I112" s="1"/>
  <c r="H113"/>
  <c r="H114"/>
  <c r="I114" s="1"/>
  <c r="H115"/>
  <c r="I115" s="1"/>
  <c r="H116"/>
  <c r="I116" s="1"/>
  <c r="H117"/>
  <c r="H118"/>
  <c r="I118" s="1"/>
  <c r="H119"/>
  <c r="I119" s="1"/>
  <c r="H110"/>
  <c r="I110" s="1"/>
  <c r="H97"/>
  <c r="I97" s="1"/>
  <c r="H98"/>
  <c r="I98" s="1"/>
  <c r="H99"/>
  <c r="I99" s="1"/>
  <c r="H100"/>
  <c r="I100" s="1"/>
  <c r="H101"/>
  <c r="I101" s="1"/>
  <c r="H102"/>
  <c r="I102" s="1"/>
  <c r="H103"/>
  <c r="H104"/>
  <c r="I104" s="1"/>
  <c r="H105"/>
  <c r="I105" s="1"/>
  <c r="H106"/>
  <c r="H107"/>
  <c r="I107" s="1"/>
  <c r="H108"/>
  <c r="I108" s="1"/>
  <c r="H96"/>
  <c r="I96" s="1"/>
  <c r="H90"/>
  <c r="I90" s="1"/>
  <c r="H91"/>
  <c r="I91" s="1"/>
  <c r="H92"/>
  <c r="I92" s="1"/>
  <c r="H93"/>
  <c r="I93" s="1"/>
  <c r="H89"/>
  <c r="I89" s="1"/>
  <c r="H85"/>
  <c r="I85" s="1"/>
  <c r="H86"/>
  <c r="I86" s="1"/>
  <c r="H84"/>
  <c r="I84" s="1"/>
  <c r="H81"/>
  <c r="I81" s="1"/>
  <c r="H80"/>
  <c r="I80" s="1"/>
  <c r="H72"/>
  <c r="I72" s="1"/>
  <c r="H73"/>
  <c r="I73" s="1"/>
  <c r="H74"/>
  <c r="I74" s="1"/>
  <c r="H75"/>
  <c r="I75" s="1"/>
  <c r="H76"/>
  <c r="I76" s="1"/>
  <c r="H77"/>
  <c r="I77" s="1"/>
  <c r="H71"/>
  <c r="H64"/>
  <c r="I64" s="1"/>
  <c r="H65"/>
  <c r="I65" s="1"/>
  <c r="H66"/>
  <c r="I66" s="1"/>
  <c r="H67"/>
  <c r="I67" s="1"/>
  <c r="H68"/>
  <c r="I68" s="1"/>
  <c r="H63"/>
  <c r="I63" s="1"/>
  <c r="H58"/>
  <c r="I58" s="1"/>
  <c r="H59"/>
  <c r="H60"/>
  <c r="I60" s="1"/>
  <c r="H57"/>
  <c r="H20"/>
  <c r="H21"/>
  <c r="I21" s="1"/>
  <c r="H19"/>
  <c r="I19" s="1"/>
  <c r="K73"/>
  <c r="K72"/>
  <c r="G17"/>
  <c r="K16"/>
  <c r="K17" s="1"/>
  <c r="J17" s="1"/>
  <c r="I122"/>
  <c r="I121"/>
  <c r="I103"/>
  <c r="I106"/>
  <c r="I113"/>
  <c r="I117"/>
  <c r="I71"/>
  <c r="I59"/>
  <c r="I57"/>
  <c r="I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150"/>
  <c r="K86"/>
  <c r="B6" i="21"/>
  <c r="B5"/>
  <c r="B4"/>
  <c r="B3" i="22"/>
  <c r="B4"/>
  <c r="K20" i="19"/>
  <c r="K19"/>
  <c r="K22"/>
  <c r="J22" s="1"/>
  <c r="G94"/>
  <c r="K120"/>
  <c r="K123"/>
  <c r="J123" s="1"/>
  <c r="G151"/>
  <c r="G123"/>
  <c r="G87"/>
  <c r="G82"/>
  <c r="G78"/>
  <c r="G69"/>
  <c r="G61"/>
  <c r="G22"/>
  <c r="D8" i="23"/>
  <c r="D9" s="1"/>
  <c r="F8"/>
  <c r="F9" s="1"/>
  <c r="K57" i="19"/>
  <c r="K75"/>
  <c r="K60"/>
  <c r="K91"/>
  <c r="K89"/>
  <c r="K90"/>
  <c r="K67"/>
  <c r="K77"/>
  <c r="K64"/>
  <c r="K65"/>
  <c r="K121"/>
  <c r="K76"/>
  <c r="K81"/>
  <c r="K66"/>
  <c r="K21"/>
  <c r="K122"/>
  <c r="K85"/>
  <c r="K74"/>
  <c r="K59"/>
  <c r="K68"/>
  <c r="K92"/>
  <c r="K94" s="1"/>
  <c r="J94" s="1"/>
  <c r="K149"/>
  <c r="K151" s="1"/>
  <c r="J151" s="1"/>
  <c r="K63"/>
  <c r="K69" s="1"/>
  <c r="J69" s="1"/>
  <c r="K80"/>
  <c r="K82"/>
  <c r="J82" s="1"/>
  <c r="K93"/>
  <c r="K71"/>
  <c r="K78"/>
  <c r="J78" s="1"/>
  <c r="K58"/>
  <c r="K61" s="1"/>
  <c r="J61" s="1"/>
  <c r="K84"/>
  <c r="K87" s="1"/>
  <c r="J87" s="1"/>
  <c r="H141"/>
  <c r="I141" s="1"/>
  <c r="G80" i="24" l="1"/>
  <c r="G67"/>
  <c r="G58"/>
  <c r="G48"/>
  <c r="G37"/>
  <c r="G29"/>
  <c r="I94" i="19"/>
  <c r="E43" i="21" s="1"/>
  <c r="H45" s="1"/>
  <c r="I87" i="19"/>
  <c r="E40" i="21" s="1"/>
  <c r="I42" s="1"/>
  <c r="I82" i="19"/>
  <c r="E37" i="21" s="1"/>
  <c r="G39" s="1"/>
  <c r="I61" i="19"/>
  <c r="E26" i="22" s="1"/>
  <c r="I52" i="19"/>
  <c r="E22" i="21" s="1"/>
  <c r="F24" s="1"/>
  <c r="I37" i="19"/>
  <c r="E17" i="22" s="1"/>
  <c r="I27" i="19"/>
  <c r="I22"/>
  <c r="E11" i="22" s="1"/>
  <c r="E13" i="21"/>
  <c r="F15" s="1"/>
  <c r="E23" i="22"/>
  <c r="E25" i="21"/>
  <c r="F27" s="1"/>
  <c r="I78" i="19"/>
  <c r="I123"/>
  <c r="I69"/>
  <c r="I151"/>
  <c r="I147"/>
  <c r="E9" i="22"/>
  <c r="E10" i="21"/>
  <c r="E16"/>
  <c r="F18" s="1"/>
  <c r="E14" i="22"/>
  <c r="E41" l="1"/>
  <c r="E38"/>
  <c r="E35"/>
  <c r="E28" i="21"/>
  <c r="F30" s="1"/>
  <c r="E20" i="22"/>
  <c r="E19" i="21"/>
  <c r="F21" s="1"/>
  <c r="E46"/>
  <c r="E44" i="22"/>
  <c r="H12" i="21"/>
  <c r="I12"/>
  <c r="G12"/>
  <c r="F12"/>
  <c r="E29" i="22"/>
  <c r="E31" i="21"/>
  <c r="I45"/>
  <c r="E52"/>
  <c r="I152" i="19"/>
  <c r="E50" i="22"/>
  <c r="E49" i="21"/>
  <c r="E47" i="22"/>
  <c r="E34" i="21"/>
  <c r="E32" i="22"/>
  <c r="G45" i="21"/>
  <c r="I54" l="1"/>
  <c r="H48"/>
  <c r="I48"/>
  <c r="G48"/>
  <c r="G51"/>
  <c r="H51"/>
  <c r="I51"/>
  <c r="E53" i="22"/>
  <c r="D50" s="1"/>
  <c r="G36" i="21"/>
  <c r="F33"/>
  <c r="F55" s="1"/>
  <c r="F56" s="1"/>
  <c r="E56"/>
  <c r="I55" l="1"/>
  <c r="G55"/>
  <c r="G56" s="1"/>
  <c r="D37"/>
  <c r="D10"/>
  <c r="D13"/>
  <c r="D19"/>
  <c r="D40"/>
  <c r="D28"/>
  <c r="D25"/>
  <c r="D16"/>
  <c r="D22"/>
  <c r="D43"/>
  <c r="D32" i="22"/>
  <c r="D34" i="21"/>
  <c r="D47" i="22"/>
  <c r="D11"/>
  <c r="D23"/>
  <c r="D26"/>
  <c r="D20"/>
  <c r="D38"/>
  <c r="D41"/>
  <c r="D14"/>
  <c r="D17"/>
  <c r="D35"/>
  <c r="D9"/>
  <c r="D49" i="21"/>
  <c r="D46"/>
  <c r="D52"/>
  <c r="D31"/>
  <c r="D44" i="22"/>
  <c r="D29"/>
  <c r="H55" i="21"/>
  <c r="H56" l="1"/>
  <c r="I56" s="1"/>
  <c r="D53" i="22"/>
  <c r="D56" i="21"/>
</calcChain>
</file>

<file path=xl/sharedStrings.xml><?xml version="1.0" encoding="utf-8"?>
<sst xmlns="http://schemas.openxmlformats.org/spreadsheetml/2006/main" count="633" uniqueCount="391">
  <si>
    <t>Item</t>
  </si>
  <si>
    <t>Descrição</t>
  </si>
  <si>
    <t xml:space="preserve">UN </t>
  </si>
  <si>
    <t>Unitário</t>
  </si>
  <si>
    <t>SERVIÇOS PRELIMINARES</t>
  </si>
  <si>
    <t>MOVIMENTO DE SOLOS</t>
  </si>
  <si>
    <t>TOTAL-----------------»</t>
  </si>
  <si>
    <t>CRONOGRAMA  FÍSICO-FINANCEIRO</t>
  </si>
  <si>
    <t>DISCRIMINAÇÃO DOS SERVIÇOS</t>
  </si>
  <si>
    <t>%</t>
  </si>
  <si>
    <t>VALOR DO ITEM</t>
  </si>
  <si>
    <t>(R$)</t>
  </si>
  <si>
    <t>Serviços Preliminares</t>
  </si>
  <si>
    <t xml:space="preserve">Movimento de Solos </t>
  </si>
  <si>
    <t xml:space="preserve">Revestimentos </t>
  </si>
  <si>
    <t>Coberturas</t>
  </si>
  <si>
    <t>Pinturas</t>
  </si>
  <si>
    <t>TOTAIS MENSAIS</t>
  </si>
  <si>
    <t>TOTAIS ACUMULADOS</t>
  </si>
  <si>
    <t>RESPONSÁVEL TÉCNICO: GIOVANI BIFF-ARQUITETO E URBANISTA</t>
  </si>
  <si>
    <t xml:space="preserve">                                              CAU: 96414-0</t>
  </si>
  <si>
    <t>RESUMO DA OBRA</t>
  </si>
  <si>
    <t>ITEM.</t>
  </si>
  <si>
    <t xml:space="preserve"> Serviços Preliminares</t>
  </si>
  <si>
    <t>Movimento de Solos</t>
  </si>
  <si>
    <t>30 DIAS</t>
  </si>
  <si>
    <t>60 DIAS</t>
  </si>
  <si>
    <t>90 DIAS</t>
  </si>
  <si>
    <t>120 DIAS</t>
  </si>
  <si>
    <t>Estrutura</t>
  </si>
  <si>
    <t>Pisos</t>
  </si>
  <si>
    <t>COTAÇÕES DE MERCADO (RETROAGIDO COM O ÍNDICE DO INCC ENTRE MAR/14 E SET/15)</t>
  </si>
  <si>
    <t>PISO TÁTIL</t>
  </si>
  <si>
    <t>COTAÇÃO  SINAPI SETEMBRO/15 (cod.00036178)</t>
  </si>
  <si>
    <t>INDICE DE REAJUSTE</t>
  </si>
  <si>
    <t>VALOR COTAÇÃO MAR/14</t>
  </si>
  <si>
    <t>FONTE: http://sindusconpr.com.br/incc-di-fgv-310-p</t>
  </si>
  <si>
    <t>VALOR INCC ABRIL/17</t>
  </si>
  <si>
    <t>PLACA DE OBRA EM CHAPA DE ACO GALVANIZADO</t>
  </si>
  <si>
    <t>LIMPEZA FINAL DA OBRA</t>
  </si>
  <si>
    <t xml:space="preserve">Unit. c/ BDI </t>
  </si>
  <si>
    <t>Valor Total</t>
  </si>
  <si>
    <t>VALOR INCC MARÇO/14</t>
  </si>
  <si>
    <t>TOTAL ACUM.</t>
  </si>
  <si>
    <t>VALORES</t>
  </si>
  <si>
    <t>Quant.</t>
  </si>
  <si>
    <t>LIMPEZA MANUAL DO TERRENO C/ RASPAGEM SUPERFICIAL</t>
  </si>
  <si>
    <t>ESTRUTURA</t>
  </si>
  <si>
    <t>FUNDAÇÃO</t>
  </si>
  <si>
    <t xml:space="preserve">           LAJE</t>
  </si>
  <si>
    <t>IMPERMEABILIZAÇÃO</t>
  </si>
  <si>
    <t>ALVENARIA</t>
  </si>
  <si>
    <t>REVESTIMENTO</t>
  </si>
  <si>
    <t>COBERTURA</t>
  </si>
  <si>
    <t>ESQUADRIAS</t>
  </si>
  <si>
    <t>PISOS</t>
  </si>
  <si>
    <t>PINTURA</t>
  </si>
  <si>
    <t xml:space="preserve">             ESGOTO</t>
  </si>
  <si>
    <t>INSTALAÇÕES HIDRO SANITÁRIAS</t>
  </si>
  <si>
    <t xml:space="preserve">             ÁGUAS PLUVIAIS</t>
  </si>
  <si>
    <t>SERVIÇOS COMPLEMENTARES</t>
  </si>
  <si>
    <r>
      <t>5</t>
    </r>
    <r>
      <rPr>
        <b/>
        <sz val="11"/>
        <rFont val="Calibri"/>
        <family val="2"/>
      </rPr>
      <t>ª</t>
    </r>
    <r>
      <rPr>
        <b/>
        <sz val="11"/>
        <rFont val="Arial"/>
        <family val="2"/>
      </rPr>
      <t xml:space="preserve"> MEDIÇÃO</t>
    </r>
  </si>
  <si>
    <t>VALOR</t>
  </si>
  <si>
    <t>C/ BASE SOB  REMANECENTE</t>
  </si>
  <si>
    <t>INSTALAÇÕES ELÉTRICAS</t>
  </si>
  <si>
    <t xml:space="preserve">          Data:17/julho/2017</t>
  </si>
  <si>
    <t>SINAPI</t>
  </si>
  <si>
    <t>RUFO EM CHAPA DE AÇO GALVANIZADO NUMERO 24, CORTE DE 25CM, INCLUSO TRANSPORTE VERTICAL</t>
  </si>
  <si>
    <t>CALHA EM CHAPA DE AÇO GALVANIZADO NÚMERO 24,DESENVOLVIMENTO DE 33 CM , INCLUSO TRANSPORTE VERTICAL, AF 06/2016</t>
  </si>
  <si>
    <t>M</t>
  </si>
  <si>
    <t>M²</t>
  </si>
  <si>
    <t>PORTA EM ALUMINIO DE ABRIR TIPO VENEZIANA COM GUARNIÇÃO, FIXAÇÃO COM PARAFUSOS-FORNECIMENTO E INSTALAÇÃO. AF_08/2015</t>
  </si>
  <si>
    <t>TRAMA DE MADEIRA COMPOSTA POR RIPAS, CAIBROS E TERÇAS PARA TELHADOS DE MAIS DE DUAS ÁGUAS PARA TELHA CERÂMICA CAPA-CANAL, INCLUSO TRANSPOSTE VERTICAL. AF_12/2015</t>
  </si>
  <si>
    <t xml:space="preserve">TELHAMENTO COM TELHA CAPA-CANAL, TIPO COLONIAL, COM MAIS DE 02 ÁGUAS, INCLUSO TRANSPORTE VERTICAL </t>
  </si>
  <si>
    <t>LASTRO DE CONCRETO, PREPARO MECÂNICO, INCLUSO ADITIVO IMPERMEABILIZANTE , LANÇAMENTO E ADENSAMENTO</t>
  </si>
  <si>
    <t>M³</t>
  </si>
  <si>
    <t>REVESTIMENTO CERÂMICO P/ PISO COM PLACAS TIPO PORCELANATO DE DIMENSÕES 60X60CM, APLICADA EM AMBIENTES DE ÁREA MAIOR QUE 10 M². AF_06/2014</t>
  </si>
  <si>
    <r>
      <t>M</t>
    </r>
    <r>
      <rPr>
        <b/>
        <sz val="10"/>
        <rFont val="Arial"/>
        <family val="2"/>
      </rPr>
      <t>²</t>
    </r>
  </si>
  <si>
    <t>LAJE PRÉ-FABRICADA TRELIÇADA PARA PISO OU COBERTURA, INTEREIXO 38CM, H= 12CM, EL. ENCHIMENTO EM EPS H-8CM, INCLUSIVE ESCORAMENTO EM MADEIRA E CAPEAMENTO 4CM</t>
  </si>
  <si>
    <t>74106/001</t>
  </si>
  <si>
    <t>CHAPISCO APLICADO EM ALVENARIAS E ESTRUTURA DE CONCRETO INTERNAS, COM COLHER DE PEDREIRO, ARGAMASSA TRAÇO 1:3 PREPARO EM BETONEIRA 400L. AF_06/2014</t>
  </si>
  <si>
    <t>CHAPISCO APLICADO EM ALVENARIA (COM PRESENÇA DE VÃOS) E ESTRUTURA DE CONCRETO DE FACHADA, COM COLHER DE PEDREIRO, ARGAMASSA TRAÇO 1:3 PREPARO EM BETONEIRA 400L. AF_06/2014</t>
  </si>
  <si>
    <t>CHAPISCO APLICADO  NO TETO, COM ROLO PARA TEXTURA ACRILICA. ARGAMASSA TRAÇO 1:4 E EMULSÃO POLIMERICA (ADESIVO) COM  PREPARO EM BETONEIRA 400L. AF_06/2014</t>
  </si>
  <si>
    <t>MASSA ÚNICA, PARA RECEBIMENTO DE PINTURA , EM ARGAMASSA TRAÇO 1:2:8  PREPARO MECANICO COM BETONEIRA 400L, APLICADA MANUALMENTE EM FACES INTERNAS DE PAREDES, EXPESSURA 20MM, COM EXECUÇÃO DE TALISCAS. AF-06/2014</t>
  </si>
  <si>
    <t>EMBOÇO OU MASSA ÚNICA , EM ARGAMASSA TRAÇO 1:2:8  PREPARO MECANICO COM BETONEIRA 400L, APLICADA MANUALMENTE EM PANOS DE FACHADA COM  PRESENÇA DE VÃOS, EXPESSURA 25MM. AF-06/2014</t>
  </si>
  <si>
    <t>REVESTIMENTO CERÂMICO PARA PAREDES INTERNAS COM PLACAS TIPO ESMALTADA EXTRA DE DIMENSÕES 20X20 CM APLICADAS EM AMBINETES DE ÁREA MAIOR QUE 5M² A MEIA ALTURA DAS PAREDES. AF_06/2014</t>
  </si>
  <si>
    <t>VERGA PRÉ-MOLDADA PARA JANELAS COM MAIS DE 1,5M DE VÃO. AF_03/2016</t>
  </si>
  <si>
    <t>VERGA PRÉ-MOLDADA PARA PORTAS COM ATÉ 1,5M DE VÃO. AF_03/2016</t>
  </si>
  <si>
    <t>APLICAÇÃO MANUAL DE PINTURA COM TINTA LÁTEX ACRÍLICA EM TETO, DUAS DEMÃOS, AF_06/2014</t>
  </si>
  <si>
    <t>APLICAÇÃO MANUAL DE PINTURA COM TINTA LÁTEX ACRÍLICA EM PAREDES, DUAS DEMÃOS, AF_06/2014</t>
  </si>
  <si>
    <t>APLICAÇÃO E LIXAMENTO DE MASSA LÁTEX EM TETO, DUAS DEMÃOS. AF_06/2014</t>
  </si>
  <si>
    <t>APLICAÇÃO E LIXAMENTO DE MASSA LÁTEX EM PAREDES, DUAS DEMÃOS. AF_06/2014</t>
  </si>
  <si>
    <t>APLICAÇÃO MANUAL DE MASSA ACRÍLICA EM PAREDES EXTERNAS DE CASAS, DUAS DEMÃOS. AF_05/2017</t>
  </si>
  <si>
    <t>MONTAGEM E DESMONTAGEM DE FÔRMA DE PILARES RETANGULARES E ESTRUTURAS SIMILARES COM ÁREA MÉDIA DAS SEÇÕES MENOR OU IGUAL A  0,25M², PÉ DIREITO SIMPLES, EM CHAPA DE MADEIRA COMPENSADA RESINADA, 6 UTILIZAÇÕES AF_12/2015</t>
  </si>
  <si>
    <t>CONCRETO MAGRO PARA LASTRO, TRAÇO 1:4,5:4,5 (CIMENTO/ AREIA MÉDIA/ BRITA 1) -PREPARO MECÂNICO COM BETÔNEIRA 400 L. AF_07/2016</t>
  </si>
  <si>
    <t>CONCRETO FCK=25MPA, TRAÇO 1: 2,3 :2, 7 (CIMENTO/ AREIA MÉDIA/ BRITA 1)-PREPARO MECÂNICO COM BETONEIRA 400L. AF_07/2016</t>
  </si>
  <si>
    <t>73948/016</t>
  </si>
  <si>
    <t>74209/001</t>
  </si>
  <si>
    <t>PREPARO DE FUNDO DE VALA COM LARGURA MENOR QUE 1,5M, EM LOCAL COM NÍVEL BAIXO DE INTERFERÊNCIA. AF_06/2016</t>
  </si>
  <si>
    <t>EXECUÇÃO DE DEPÓSITO EM CANTEIRO DE OBRA EM CHAPA DE MADEIRA COMPENSADA, NÃO INCLUSO MOBILIÁRIO. AF_04/2016</t>
  </si>
  <si>
    <t>FABRICAÇÃO DE FORMA PARA LAJES, EM CHAPA DE MADEIRA COMPENSADA RESINADA, E=17MM. AF_12/2015</t>
  </si>
  <si>
    <t>JANELA EM VIDRO TEMPERADO DE CORRER COM ESTRUTURA DE ALUMINIO, ESPESSURA 10MM</t>
  </si>
  <si>
    <t>FORNECIMENTO E MONTAGEM DE BANCADAS EM GRANITO NATURAL, COR BRANCO ITAUNAS, COMPOSTAS POR CUBAS DE AÇO INOX COM DIMENSÃO DE 56X33X12CM, ASSENTADA SOBRE ESTRUTURA DE ALVENARIA/CONCRETO  UTILIZANDO ARGAMASSA COLANTE, CONFORME DETALHES EM PROJETO.</t>
  </si>
  <si>
    <t>COMPOSIÇÃO 01</t>
  </si>
  <si>
    <t>CUMEEIRA E ESPIGÃO PARA TELHA CERÂMICA EMBOÇADA COM ARGAMASSA TRAÇO 1:2:9 (CIMENTO, CAL E AREIA), PARA TELHADOS COM MAIS DE DUAS ÁGUAS , INCLUSO TRANSPORTE VERTICAL. AF_06/2016</t>
  </si>
  <si>
    <t>ALVENARIA DE VEDAÇÃO DE BLOCOS CERÂMICOS FURADOS NA HORIZONTAL DE 9 X19X19CM (ESPESSURA 11,5CM) DE PAREDES COM ÁREA LÍQUIDA  MAIOR OU IGUAL A 6M² COM VÃOS E ARGAMASSA DE ASSENTAMENTO COM PREPARO EM BETONEIRA AF_06_2014</t>
  </si>
  <si>
    <t>ALVENARIA DE VEDAÇÃO DE BLOCOS CERÂMICOS FURADOS NA HORIZONTAL DE 9 X19X39CM (ESPESSURA 19CM) DE PAREDES COM ÁREA LÍQUIDA  MAIOR OU IGUAL A 6M² COM VÃOS E ARGAMASSA DE ASSENTAMENTO COM PREPARO EM BETONEIRA AF_06_2014</t>
  </si>
  <si>
    <t>CONCRETO FCK=25MPA, TRAÇO 1:2,3:2,7 (CIMENTO/ AREIA MÉDIA/ BRITA 1)-PREPARO MECÂNICO COM BETONEIRA 400L. AF_07/2016</t>
  </si>
  <si>
    <t>AMARÇÃO DE LAJE DE UMA ESTRUTURA CONVENCIONAL DE CONCRETO ARMADO EM UMA EDIFICAÇÃO TÉRREA OU SOBRADO UTILIZANDO AÇO CA-50 DE 6,3MM- MONTAGEM. AF_12/2015</t>
  </si>
  <si>
    <t>KG</t>
  </si>
  <si>
    <t>AMARÇÃO DE LAJE DE UMA ESTRUTURA CONVENCIONAL DE CONCRETO ARMADO EM UMA EDIFICAÇÃO TÉRREA OU SOBRADO UTILIZANDO AÇO CA-50 DE 8,0MM- MONTAGEM. AF_12/2015</t>
  </si>
  <si>
    <t>AMARÇÃO DE PILAR OU VIGA DE UMA ESTRUTURA CONVENCIONAL DE CONCRETO ARMADO EM UMA EDIFICAÇÃO TÉRREA OU SOBRADO UTILIZANDO AÇO CA-60 DE 5,0MM- MONTAGEM. AF_12/2015</t>
  </si>
  <si>
    <t>AMARÇÃO DE PILAR OU VIGA DE UMA ESTRUTURA CONVENCIONAL DE CONCRETO ARMADO EM UMA EDIFICAÇÃO TÉRREA OU SOBRADO UTILIZANDO AÇO CA-50 DE 6,3MM- MONTAGEM. AF_12/2015</t>
  </si>
  <si>
    <t>AMARÇÃO DE PILAR OU VIGA DE UMA ESTRUTURA CONVENCIONAL DE CONCRETO ARMADO EM UMA EDIFICAÇÃO TÉRREA OU SOBRADO UTILIZANDO AÇO CA-50 DE 8,0MM- MONTAGEM. AF_12/2015</t>
  </si>
  <si>
    <t>AMARÇÃO DE PILAR OU VIGA DE UMA ESTRUTURA CONVENCIONAL DE CONCRETO ARMADO EM UMA EDIFICAÇÃO TÉRREA OU SOBRADO UTILIZANDO AÇO CA-50 DE 10,0MM- MONTAGEM. AF_12/2015</t>
  </si>
  <si>
    <t>AMARÇÃO DE PILAR OU VIGA DE UMA ESTRUTURA CONVENCIONAL DE CONCRETO ARMADO EM UMA EDIFICAÇÃO TÉRREA OU SOBRADO UTILIZANDO AÇO CA-50 DE 12,5MM- MONTAGEM. AF_12/2015</t>
  </si>
  <si>
    <t>AMARÇÃO DE BLOCO, VIGA BALDRAME OU SAPATA UTILIZANDO AÇO CA-50 DE 10MM-MONTAGEM  AF_06/2017</t>
  </si>
  <si>
    <t>AMARÇÃO DE BLOCO, VIGA BALDRAME OU SAPATA UTILIZANDO AÇO CA-60 DE 5,0MM-MONTAGEM  AF_06/2017</t>
  </si>
  <si>
    <t>AMARÇÃO DE BLOCO, VIGA BALDRAME OU SAPATA UTILIZANDO AÇO CA-50 DE 12,5MM-MONTAGEM  AF_06/2017</t>
  </si>
  <si>
    <t>AMARÇÃO DE BLOCO, VIGA BALDRAME OU SAPATA UTILIZANDO AÇO CA-50 DE 8,0MM-MONTAGEM  AF_06/2017</t>
  </si>
  <si>
    <t>TUBO, PVC, SOLDAVEL, DN 25MM, INSTALADO EM  RAMAL OU SUB RAMAL DE ÁGUA, FORNECIMENTO E INSTALAÇÃO. AF_12/2014</t>
  </si>
  <si>
    <t>UN</t>
  </si>
  <si>
    <t>JOELHO 90 GRAUS, PVC, SOLDAVEL, DN 25MM, INSTALADO EM  PRUMADA   DE ÁGUA, FORNECIMENTO E INSTALAÇÃO. AF_12/2014</t>
  </si>
  <si>
    <t>JOELHO 90 GRAUS, COM BUCHA DE LATÃO, PVC, SOLDAVEL, DN 25MM X1/2 INSTALADO EM  RAMAL OU SUB RAMAL  DE ÁGUA, FORNECIMENTO E INSTALAÇÃO. AF_12/2014</t>
  </si>
  <si>
    <t>CAIXA D`ÁGUA EM POLIETILENO, 1000 LITROS COM ACESSÓRIOS</t>
  </si>
  <si>
    <t>TUBO DE PVC, SÉRIE R, ÁGUA PLÚVIAL, DN 75 MM, FORNECIDO E INSTALADO EM CONDUTORES VERTICAIS DE ÁGUAS PLUVIAIS. AF_12/2014</t>
  </si>
  <si>
    <t>JOELHO 90 GRAUS, PVC, SÉRIE R, ÁGUA PLUVIAL, DN 75MM, JUNTA ELASTICA, FORNECIDO E INSTALADO EM RAMAL DE ENCAMINHAMENTO. AF_12/2014</t>
  </si>
  <si>
    <t>TORNEIRA CROMADA TUBO MOVEL DE MESA 1/2`` OU 3/4``, PARA PIA DE COZINHA PADRÃO ALTO FORNECIMENTO E INSTALAÇÃO. AF_12/2013</t>
  </si>
  <si>
    <t>ENGATE FLEXIVEL EM PLÁSTICO BRANCO, 1/2 ``X 40CM -FORNECIMENTO E INSTALAÇÃO AF-12/2013</t>
  </si>
  <si>
    <t>CAIXA SIFONADA, PVC, 100X100X50MM, JUNTA ELÁSTICA, FORNECIDA E INSTALADA EM RAMAL DE DESCARGA OU EM RAMAL DE ESGOTO SANITÁRIO. AF_12/2014</t>
  </si>
  <si>
    <t>TUBO PVC, SÉRIE NORMAL, ESGOTO PREDIAL, DN 50MM, FORNECIDO E INSTALADO EM RAMAL DE DESCARGA OU RAMAL DE ESGOTO SANITÁRIO AF_12/2014</t>
  </si>
  <si>
    <t>Fundação</t>
  </si>
  <si>
    <t>Impermeabilização</t>
  </si>
  <si>
    <t>Alvenaria</t>
  </si>
  <si>
    <t>Revestimento</t>
  </si>
  <si>
    <t>Cobertura</t>
  </si>
  <si>
    <t>Esquadrias</t>
  </si>
  <si>
    <t>Pintura</t>
  </si>
  <si>
    <t>Instalações Hidro Sanitárias</t>
  </si>
  <si>
    <t>Serviços Complementares</t>
  </si>
  <si>
    <t xml:space="preserve">            Execução de Obras de Construção de um Laboratório de Ciências</t>
  </si>
  <si>
    <t>B.D.I: 27,63%</t>
  </si>
  <si>
    <t xml:space="preserve">       PLANILHA  ORÇAMENTÁRIA </t>
  </si>
  <si>
    <t>CAIXA RETANGULAR 4``X 2`` ALTA (2,00M DO PISO), PVC INSTALADA EM PAREDE-FORNECIMENTO E INSTALAÇÃO . AF_12/2015</t>
  </si>
  <si>
    <t>CAIXA RETANGULAR 4``X 2`` MÉDIA (1,30M DO PISO), PVC INSTALADA EM PAREDE-FORNECIMENTO E INSTALAÇÃO . AF_12/2015</t>
  </si>
  <si>
    <t>CAIXA RETANGULAR 4``X 2`` BAIXA (0,30M DO PISO), PVC INSTALADA EM PAREDE-FORNECIMENTO E INSTALAÇÃO . AF_12/2015</t>
  </si>
  <si>
    <t>CAIXA OCTAGONAL 3``X 3`, PVC INSTALADA EM LAJE-FORNECIMENTO E INSTALAÇÃO . AF_12/2015</t>
  </si>
  <si>
    <t>TOMADA ALTA DE EMBUTIR (1 MÓDULO), 2P+T 20A, INCLUINDO SUPORTE E PLACA- FORNECIMENTO E INSTALAÇÃO. AF_12/2015</t>
  </si>
  <si>
    <t>TOMADA MÉDIA DE EMBUTIR (1 MÓDULO), 2P+T 20A, INCLUINDO SUPORTE E PLACA- FORNECIMENTO E INSTALAÇÃO. AF_12/2015</t>
  </si>
  <si>
    <t>TOMADA BAIXA DE EMBUTIR (1 MÓDULO), 2P+T 10A, INCLUINDO SUPORTE E PLACA- FORNECIMENTO E INSTALAÇÃO. AF_12/2015</t>
  </si>
  <si>
    <t>INTERRUPTOR SIMPLES (1 MÓDULO) COM 1 TOMADA DE EMBUTIR 2P+T 10A, INCLUINDO SUPORTE E PLACA- FORNECIMENTO E INSTALAÇÃO. AF_12/2015</t>
  </si>
  <si>
    <t>INTERRUPTOR SIMPLES (2 MÓDULOS), 10A/250V,  INCLUINDO SUPORTE E PLACA- FORNECIMENTO E INSTALAÇÃO. AF_12/2015</t>
  </si>
  <si>
    <t>DISJUNTOR MONOPOLAR TIPO DIN, CORRENTE NOMINAL DE 50A - FORNECIMENTO E INSTALAÇÃO. AF_04/2017</t>
  </si>
  <si>
    <t>DISJUNTOR TERMOMAGNETICO BIPOLAR PADRAO NEMA (AMERICANO) 10 A 50A 240V, FORNECIMENTO E INSTALACAO</t>
  </si>
  <si>
    <t>74130/003</t>
  </si>
  <si>
    <t>ELETRODUTO FLEXÍVEL CORRUGADO, PVC, DN 25 MM (3/4"), PARA CIRCUITOS TERMINAIS, INSTALADO EM LAJE - FORNECIMENTO E INSTALAÇÃO. AF_12/2015</t>
  </si>
  <si>
    <t>QUADRO DE DISTRIBUICAO DE ENERGIA EM CHAPA DE ACO GALVANIZADO, PARA 12 DISJUNTORES TERMOMAGNETICOS MONOPOLARES, COM BARRAMENTO TRIFASICO E NEUTRO - FORNECIMENTO E INSTALACAO</t>
  </si>
  <si>
    <r>
      <t>M</t>
    </r>
    <r>
      <rPr>
        <i/>
        <sz val="10"/>
        <rFont val="Arial"/>
        <family val="2"/>
      </rPr>
      <t>²</t>
    </r>
  </si>
  <si>
    <t>TOTAL GERAL DO ORÇAMENTO</t>
  </si>
  <si>
    <t>PISO TÁTIL - 40x40CM, E=2,5CM, DE ALTA RESISTÊNCIA, PODOTATIL DIRECIONAL E DE ALERTA, ASSENTADA COM ARGAMASSA DE CIMENTO E AREIA</t>
  </si>
  <si>
    <t>COMPOSIÇÃO 02</t>
  </si>
  <si>
    <t>TUBO, PVC, SOLDAVEL, DN 40MM, INSTALADO EM  PRUMADA   DE ÁGUA, FORNECIMENTO E INSTALAÇÃO. AF_12/2014</t>
  </si>
  <si>
    <t>JOELHO 90 GRAUS, PVC, SOLDAVEL, DN 40MM, INSTALADO EM  PRUMADA   DE ÁGUA, FORNECIMENTO E INSTALAÇÃO. AF_12/2014</t>
  </si>
  <si>
    <t>JOELHO 45 GRAUS, PVC, SOLDAVEL, DN 40MM, INSTALADO EM  PRUMADA   DE ÁGUA, FORNECIMENTO E INSTALAÇÃO. AF_12/2014</t>
  </si>
  <si>
    <t>ADAPTADOR COM FLANGES E ANEL DE VEDAÇÃO, PVC, SOLDÁVEL, DN 40 MM X 1 1/4, INSTALADO EM RESERVAÇÃO DE ÁGUA DE EDIFICAÇÃO QUE POSSUA RESERVATÓRIO DE FIBRA/FIBROCIMENTO FORNECIMENTO E INSTALAÇÃO. AF_06/2016</t>
  </si>
  <si>
    <t>BUCHA DE REDUÇÃO, PPR, 40 X 25, CLASSE PN 25, INSTALADO EM RAMAL DE DISTRIBUIÇÃO DE ÁGUA FORNECIMENTO E INSTALAÇÃO . AF_06/2015</t>
  </si>
  <si>
    <t>TÊ  PVC, SOLDÁVEL, DN 40MM, INSTALADO EM PRUMADA DE ÁGUA, FORNECIMENTO E INSTALAÇÃO. AF_12/2014</t>
  </si>
  <si>
    <t>TUBO PVC, SÉRIE NORMAL, ESGOTO PREDIAL, DN 100MM, FORNECIDO E INSTALADO EM RAMAL DE DESCARGA OU RAMAL DE ESGOTO SANITÁRIO AF_12/2014</t>
  </si>
  <si>
    <t>TUBO PVC, SÉRIE NORMAL, ESGOTO PREDIAL, DN 40MM, FORNECIDO E INSTALADO EM RAMAL DE DESCARGA OU RAMAL DE ESGOTO SANITÁRIO AF_12/2014</t>
  </si>
  <si>
    <t>CURVA CURTA 90 GRAUS, PVC, SERIE NORMAL, ESGOTO PREDIAL, DN 40 MM, JUNTA SOLDÁVEL, FORNECIDO E INSTALADO EM RAMAL DE DESCARGA OU RAMAL DE ESGOTO SANITÁRIO. AF_12/2014</t>
  </si>
  <si>
    <t>JOELHO 45 GRAUS, PVC, SERIE NORMAL, ESGOTO PREDIAL, DN 40 MM, JUNTA SOLDÁVEL, FORNECIDO E INSTALADO EM RAMAL DE DESCARGA OU RAMAL DE ESGOTO SANITÁRIO. AF_12/2014</t>
  </si>
  <si>
    <t>LUVA SIMPLES, PVC, SERIE NORMAL, ESGOTO PREDIAL, DN 40 MM, JUNTA SOLDÁVEL, FORNECIDO E INSTALADO EM RAMAL DE DESCARGA OU RAMAL DE ESGOTO SANITÁRIO. AF_12/2014</t>
  </si>
  <si>
    <t>LUVA SIMPLES, PVC, SERIE NORMAL, ESGOTO PREDIAL, DN 50 MM, JUNTA SOLDÁVEL, FORNECIDO E INSTALADO EM RAMAL DE DESCARGA OU RAMAL DE ESGOTO SANITÁRIO. AF_12/2014</t>
  </si>
  <si>
    <t>SIFÃO DO TIPO GARRAFA/COPO EM PVC 1.1/4 X 1.1/2" - FORNECIMENTO E INSTALAÇÃO. AF_12/2013</t>
  </si>
  <si>
    <t xml:space="preserve">                                      Município: Santo Antonio do Leste - MT, Bairro Centro</t>
  </si>
  <si>
    <t>ADMINISTRAÇÃO LOCAL</t>
  </si>
  <si>
    <t>FABRICAÇÃO E INSTALAÇÃO DE TESOURA INTEIRA EM MADEIRA NÃO APARELHADA, VÃO DE 8 M, PARA TELHA CERÂMICA OU DE CONCRETO, INCLUSO IÇAMENTO. AF_12/2015</t>
  </si>
  <si>
    <t>INSTALAÇÃO DE TESOURA (INTEIRA OU MEIA), BIAPOIADA, EM MADEIRA NÃO APARELHADA, PARA VÃOS MAIORES OU IGUAIS A 3,0 M E MENORES QUE 6,0 M, INCLUSO IÇAMENTO. AF_12/2015</t>
  </si>
  <si>
    <t>COMPOSIÇÃO 03</t>
  </si>
  <si>
    <t>REGISTRO DE GAVETA BRUTO, LATÃO, ROSCÁVEL, 1 1/4, COM ACABAMENTO E CANOPLA CROMADOS, INSTALADO EM RESERVAÇÃO DE ÁGUA DE EDIFICAÇÃO QUE POSSUA RESERVATÓRIO DE FIBRA/FIBROCIMENTO FORNECIMENTO E INSTALAÇÃO. AF_06/201</t>
  </si>
  <si>
    <t xml:space="preserve">ADMINISTRAÇÃO LOCAL DE OBRA </t>
  </si>
  <si>
    <t>ENCARGOS SOCIAIS SOBRE MÃO DE OBRA: 88,80%</t>
  </si>
  <si>
    <t>COMPOSIÇÃO 04</t>
  </si>
  <si>
    <t xml:space="preserve">         deste orçamento.</t>
  </si>
  <si>
    <t>Nota Técnica: O Serviços que correspondem a sondagem do tipo SPT serão realizados pela equipe técnica da Administração Municipal, estando assim a parte</t>
  </si>
  <si>
    <t>Administração Local</t>
  </si>
  <si>
    <t>REATERRO MANUAL APILOADO COM SOQUETE. AF_10/2017</t>
  </si>
  <si>
    <t>IMPERMEABILIZAÇÃO DE ESTRUTURAS ENTERRADAS, COM TINTA ASFALTICA, DUAS DEMÃOS.</t>
  </si>
  <si>
    <t>3.1</t>
  </si>
  <si>
    <t>1.1</t>
  </si>
  <si>
    <t>2.1</t>
  </si>
  <si>
    <t>2.2</t>
  </si>
  <si>
    <t>2.3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</si>
  <si>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</si>
  <si>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</si>
  <si>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</si>
  <si>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</si>
  <si>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</si>
  <si>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</si>
  <si>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</si>
  <si>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</si>
  <si>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</si>
  <si>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4.8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</si>
  <si>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</si>
  <si>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</si>
  <si>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</si>
  <si>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</si>
  <si>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</si>
  <si>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</si>
  <si>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</si>
  <si>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</si>
  <si>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</si>
  <si>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</si>
  <si>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</si>
  <si>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6.1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</si>
  <si>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</si>
  <si>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</si>
  <si>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</si>
  <si>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</si>
  <si>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</si>
  <si>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</si>
  <si>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</si>
  <si>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</si>
  <si>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</si>
  <si>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8.6</t>
  </si>
  <si>
    <t>9.1</t>
  </si>
  <si>
    <t>9.2</t>
  </si>
  <si>
    <t>9.3</t>
  </si>
  <si>
    <t>9.4</t>
  </si>
  <si>
    <t>9.5</t>
  </si>
  <si>
    <t>9.6</t>
  </si>
  <si>
    <t>9.7</t>
  </si>
  <si>
    <t>10.1</t>
  </si>
  <si>
    <t>10.2</t>
  </si>
  <si>
    <t>11.1</t>
  </si>
  <si>
    <t>11.2</t>
  </si>
  <si>
    <t>11.3</t>
  </si>
  <si>
    <t>12.1</t>
  </si>
  <si>
    <t>12.2</t>
  </si>
  <si>
    <t>12.3</t>
  </si>
  <si>
    <t>12.4</t>
  </si>
  <si>
    <t>12.5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</si>
  <si>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</si>
  <si>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</si>
  <si>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</si>
  <si>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</si>
  <si>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</si>
  <si>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</si>
  <si>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</si>
  <si>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</si>
  <si>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</si>
  <si>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</si>
  <si>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</si>
  <si>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</si>
  <si>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</si>
  <si>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</si>
  <si>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</si>
  <si>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</si>
  <si>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</si>
  <si>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</si>
  <si>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</si>
  <si>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</si>
  <si>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</si>
  <si>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</si>
  <si>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</si>
  <si>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</si>
  <si>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</si>
  <si>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CABO DE COBRE FLEXÍVEL ISOLADO, 2,5 MM², ANTI-CHAMA 0,6/1,0 KV, PARA CIRCUITOS TERMINAIS - FORNECIMENTO E INSTALAÇÃO. AF_12/2015</t>
  </si>
  <si>
    <t>CABO DE COBRE FLEXÍVEL ISOLADO, 4 MM², ANTI-CHAMA 0,6/1,0 KV, PARA CIRCUITOS TERMINAIS - FORNECIMENTO E INSTALAÇÃO. AF_12/2015</t>
  </si>
  <si>
    <t>CABO DE COBRE FLEXÍVEL ISOLADO, 16 MM², ANTI-CHAMA 0,6/1,0 KV, PARA CIRCUITOS TERMINAIS - FORNECIMENTO E INSTALAÇÃO. AF_12/2015</t>
  </si>
  <si>
    <t>DISJUNTOR MONOPOLAR TIPO DIN, CORRENTE NOMINAL DE 13A - FORNECIMENTO E INSTALAÇÃO. AF_04/2016</t>
  </si>
  <si>
    <t>DISPOSITIVO DE PROTEÇÃO CONTRA SURTO DE TENSÃO DPS 40kA - 175v</t>
  </si>
  <si>
    <t xml:space="preserve">DISJUNTOR BIPOLAR DR 63A - DISPOSITIVO RESIDUAL DIFERENCIAL, TIPO AC, 30MA </t>
  </si>
  <si>
    <t>DUTO ESPIRAL FLEXIVEL SINGELO PEAD D=50MM(2") REVESTIDO COM PVC COM FIO GUIA DE ACO GALVANIZADO, LANCADO DIRETO NO SOLO, INCL CONEXOES</t>
  </si>
  <si>
    <t>73798/001</t>
  </si>
  <si>
    <t>LUMINÁRIA TIPO CALHA, DE SOBREPOR, COM 2 LÂMPADAS TUBULARES DE 36 W FORNECIMENTO E INSTALAÇÃO. AF_11/2017</t>
  </si>
  <si>
    <t>LUMINÁRIA TIPO CALHA, DE SOBREPOR, COM 2 LÂMPADAS TUBULARES DE 18 W FORNECIMENTO E INSTALAÇÃO. AF_11/2017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</si>
  <si>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</si>
  <si>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</si>
  <si>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</si>
  <si>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</si>
  <si>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</si>
  <si>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</si>
  <si>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</si>
  <si>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</si>
  <si>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</si>
  <si>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</si>
  <si>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</si>
  <si>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</si>
  <si>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</si>
  <si>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</si>
  <si>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</si>
  <si>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</si>
  <si>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</si>
  <si>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</si>
  <si>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</si>
  <si>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</si>
  <si>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</si>
  <si>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</si>
  <si>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15.1</t>
  </si>
  <si>
    <t>15.2</t>
  </si>
  <si>
    <t>5.12</t>
  </si>
  <si>
    <t>Instalações Elétricas</t>
  </si>
  <si>
    <t>COMPOSIÇÃO 05</t>
  </si>
  <si>
    <t>COMPOSIÇÃO 06</t>
  </si>
  <si>
    <t>COMPOSIÇÃO 07</t>
  </si>
  <si>
    <t xml:space="preserve">                                       Fonte de valores:SINAPI - 06/2018-DESONERADO</t>
  </si>
  <si>
    <t>ESCAVAÇÃO MANUAL DE VALA COM PROFUNDIDADE MENOR OU IGUAL A 1,30 M. AF_03/2016</t>
  </si>
  <si>
    <t>74166/001</t>
  </si>
  <si>
    <t>CAIXA DE INSPEÇÃO EM CONCRETO PRÉ-MOLDADO DN 60CM COM TAMPA H= 60CM - FORNECIMENTO E INSTALACAO</t>
  </si>
  <si>
    <t xml:space="preserve">COMPOSIÇÕES DE VALORES </t>
  </si>
  <si>
    <r>
      <rPr>
        <b/>
        <sz val="10"/>
        <rFont val="Arial"/>
        <family val="2"/>
      </rPr>
      <t>OBRA:</t>
    </r>
    <r>
      <rPr>
        <sz val="10"/>
        <rFont val="Arial"/>
        <family val="2"/>
      </rPr>
      <t xml:space="preserve"> EXECUÇÃO DE OBRAS DE CONSTRUÇÃO DE UM LABORATÓRIO DE CIÊNCIAS</t>
    </r>
  </si>
  <si>
    <t>COMPOSIÇÃO 001</t>
  </si>
  <si>
    <t>ADMINISTRAÇÃO DA OBRA</t>
  </si>
  <si>
    <t>M2</t>
  </si>
  <si>
    <t>SINAPI
ou Cot. De Mercado</t>
  </si>
  <si>
    <t>COMPONENTES</t>
  </si>
  <si>
    <t>Quantidade</t>
  </si>
  <si>
    <t>Custos
Unit. (R$)</t>
  </si>
  <si>
    <t>Custos
Total (R$)</t>
  </si>
  <si>
    <t>M Ã O   D E   O B R A</t>
  </si>
  <si>
    <t>90776</t>
  </si>
  <si>
    <t>H</t>
  </si>
  <si>
    <t>90777</t>
  </si>
  <si>
    <t>ENGENHEIRO CIVIL DE OBRA JUNIOR COM ENCARGOS COMPLEMENTARES</t>
  </si>
  <si>
    <t>TOTAL</t>
  </si>
  <si>
    <t>COMPOSIÇÃO 002</t>
  </si>
  <si>
    <t>SINAPI/SINFRA ou Cot. De Mercado</t>
  </si>
  <si>
    <t>Custos Unit. (R$)</t>
  </si>
  <si>
    <t>Custos Total (R$)</t>
  </si>
  <si>
    <t>M A T E R I A L</t>
  </si>
  <si>
    <t>LAJE PRE-MOLDADA CONVENCIONAL (LAJOTAS + VIGOTAS) PARA FORRO, UNIDIRECIONAL, SOBRECARGA DE 100 KG/M2, VAO ATE 4,00 M (SEM COLOCACAO)</t>
  </si>
  <si>
    <t>CAIBRO DE MADEIRA NAO APARELHADA *5 X 6* CM, MACARANDUBA, ANGELIM OU EQUIVALENTE DA REGIAO</t>
  </si>
  <si>
    <t>PECA DE MADEIRA NATIVA/REGIONAL 2,5 X 7,0 CM (SARRAFO-P/FORMA)</t>
  </si>
  <si>
    <t>AREIA GROSSA - POSTO JAZIDA/FORNECEDOR (RETIRADO NA JAZIDA, SEM TRANSPORTE)</t>
  </si>
  <si>
    <t>M3</t>
  </si>
  <si>
    <t>CIMENTO PORTLAND COMPOSTO CP II-32</t>
  </si>
  <si>
    <t>PEDRA BRITADA N. 2 (19 A 38 MM) POSTO PEDREIRA/FORNECEDOR, SEM FRETE</t>
  </si>
  <si>
    <t>PEDRA BRITADA N. 1 (9,5 a 19 MM) POSTO PEDREIRA/FORNECEDOR, SEM FRETE</t>
  </si>
  <si>
    <t>PREGO DE ACO POLIDO COM CABECA 18 X 30 (2 3/4 X 10)</t>
  </si>
  <si>
    <t>TABUA MADEIRA 3A QUALIDADE 2,5 X 23,0CM (1 X 9") NAO APARELHADA</t>
  </si>
  <si>
    <t>ACO CA-50, 6,3 MM, DOBRADO E CORTADO</t>
  </si>
  <si>
    <t>88309</t>
  </si>
  <si>
    <t>PEDREIRO COM ENCARGOS COMPLEMENTARES</t>
  </si>
  <si>
    <t>88316</t>
  </si>
  <si>
    <t>SERVENTE COM ENCARGOS COMPLEMENTARES</t>
  </si>
  <si>
    <t>* baseada na composição 07393/ORSE</t>
  </si>
  <si>
    <t>COMPOSIÇÃO 003</t>
  </si>
  <si>
    <t>SINAPI/SINFRA
ou Cot. De Mercado</t>
  </si>
  <si>
    <t>00010507</t>
  </si>
  <si>
    <t>VIDRO TEMPERADO INCOLOR E= 10MM, SEM COLOCAÇÃO</t>
  </si>
  <si>
    <t>88325</t>
  </si>
  <si>
    <t>VIDRACEIRO COM ENCARGOS COMPLEMENTARES</t>
  </si>
  <si>
    <t>**Composição baseada nas tabela CIDADES-FEVEREIRO/2014 COMPOSIÇÃO CH0036, sendo  que a cotação esta por m²</t>
  </si>
  <si>
    <t>COMPOSIÇÃO 004</t>
  </si>
  <si>
    <t xml:space="preserve">00036178 </t>
  </si>
  <si>
    <t xml:space="preserve">PISO PODOTATIL DE CONCRETO - DIRECIONAL E ALERTA, *40 X 40 X 2,5*CM </t>
  </si>
  <si>
    <t>00000370</t>
  </si>
  <si>
    <t>AREIA MEDIA - POSTO JAZIDA/FORNECEDOR (SEM FRETE)</t>
  </si>
  <si>
    <t>00001379</t>
  </si>
  <si>
    <t>88260</t>
  </si>
  <si>
    <t>CALCETEIRO COM ENCARGOS COMPLEMENTARES</t>
  </si>
  <si>
    <t>Obs: A cotação esta por m² sendo que 01 peça de 0,40 x 0,40= 0,16m²- Para 1m² de piso são necessárias 6,25 PEÇAS (APROXIMADAMENTE 7 PEÇAS)</t>
  </si>
  <si>
    <t>COMPOSIÇÃO 005</t>
  </si>
  <si>
    <t>DISPOSITIVO DPS CLASSE II, 1 POLO, TENSAO MAXIMA DE 175 V, CORRENTE MAXIMA DE *45* KA (TIPO AC)</t>
  </si>
  <si>
    <t>ELETRICISTA COM ENCARGOS COMPLEMENTARES</t>
  </si>
  <si>
    <t>* baseada na composição 08894/ORSE</t>
  </si>
  <si>
    <t>COMPOSIÇÃO 006</t>
  </si>
  <si>
    <t>Disjuntor bipolar DR 63 A - Dispositivo residual diferencial, tipo AC, 30MA</t>
  </si>
  <si>
    <t>* baseada na composição 07997/ORSE</t>
  </si>
  <si>
    <t>COMPOSIÇÃO 007</t>
  </si>
  <si>
    <t>00011795</t>
  </si>
  <si>
    <t xml:space="preserve">GRANITO PARA BANCADA POLIDO, TIPO ANDORINHA/QUARTZ/CASTELO/CORUMBÁ OU OUTROS EQUIVALENTES DA REGIÃO, E=2,5CM </t>
  </si>
  <si>
    <t>00004823</t>
  </si>
  <si>
    <t xml:space="preserve">MASSA PLÁSTICA P/ MARMORE/BRANITO </t>
  </si>
  <si>
    <t>00037595</t>
  </si>
  <si>
    <t>ARGAMASSA COLANTE ACIII</t>
  </si>
  <si>
    <t>00025931</t>
  </si>
  <si>
    <t>DISCO DE CORTE ADIAMANTADO SEGMENTADO DIAMETRO 180MM PARA ESMERILHADEIRA 7``</t>
  </si>
  <si>
    <t>00001747</t>
  </si>
  <si>
    <t>CUBA AÇO INOX (AISI 304) DE EMBUTIR COM VALVULA 3 1/2``, DIMENSÃO 56X33X12CM</t>
  </si>
  <si>
    <t>88274</t>
  </si>
  <si>
    <t>MARMORISTA/GRANITEIRO COM ENCARGOS COMPLEMENTARES</t>
  </si>
  <si>
    <t>INSUMOS E COMPOSIÇÕES / REF. SINAPI/MT - JUNHO/2018</t>
  </si>
  <si>
    <t>**Composição baseada nas tabela SINAPI/JUNHO 2018, BASEADA  EM EXECUÇÃO CONFORME CRONOGRAMA DE OBRA</t>
  </si>
  <si>
    <t>**Composição baseada nas tabela SINAPI-JUNHO/2018</t>
  </si>
  <si>
    <t>**Composição de referência Sinapi- JUNHO/2018,correspondente a quantidade total de granito, baseado  em uma bancada em  mármore branco com  referência em m².</t>
  </si>
  <si>
    <t xml:space="preserve">ENCARREGADO GERAL COM ENCARGOS COMPLEMENTARES </t>
  </si>
  <si>
    <t>IMPORTA O PRESENTE ORÇAMENTO EM R$- CENTO E QUARENTA E QUATRO  MIL, CENTO E TRINTA E SETE REAIS E  VINTE E OITO CENTAVOS</t>
  </si>
  <si>
    <t>DATA:14/08/18</t>
  </si>
  <si>
    <t xml:space="preserve"> Local da Obra:Rua Domingos Azzolini, Quadra 25, Centro .                                                                                                                                           Coordenadas geograficas da Obra:Latitude 14°47'55.88"S - Longitude 53°36'55.48"O</t>
  </si>
</sst>
</file>

<file path=xl/styles.xml><?xml version="1.0" encoding="utf-8"?>
<styleSheet xmlns="http://schemas.openxmlformats.org/spreadsheetml/2006/main">
  <numFmts count="8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#,##0.000"/>
    <numFmt numFmtId="167" formatCode="#,##0.0000"/>
    <numFmt numFmtId="168" formatCode="0.000"/>
    <numFmt numFmtId="169" formatCode="0.0000"/>
    <numFmt numFmtId="170" formatCode="&quot;R$&quot;\ #,##0.00"/>
    <numFmt numFmtId="171" formatCode="_(* #,##0.000_);_(* \(#,##0.000\);_(* &quot;-&quot;??_);_(@_)"/>
  </numFmts>
  <fonts count="3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9"/>
      <color indexed="10"/>
      <name val="Geneva"/>
      <family val="2"/>
    </font>
    <font>
      <b/>
      <u/>
      <sz val="18"/>
      <name val="Arial"/>
      <family val="2"/>
    </font>
    <font>
      <sz val="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7E9A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4">
    <xf numFmtId="0" fontId="0" fillId="0" borderId="0"/>
    <xf numFmtId="0" fontId="18" fillId="0" borderId="0"/>
    <xf numFmtId="0" fontId="18" fillId="0" borderId="0"/>
    <xf numFmtId="0" fontId="17" fillId="0" borderId="0"/>
    <xf numFmtId="0" fontId="27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6" fillId="0" borderId="0"/>
    <xf numFmtId="0" fontId="6" fillId="0" borderId="0"/>
    <xf numFmtId="0" fontId="6" fillId="0" borderId="0"/>
    <xf numFmtId="0" fontId="28" fillId="0" borderId="0"/>
    <xf numFmtId="0" fontId="6" fillId="0" borderId="0"/>
    <xf numFmtId="0" fontId="26" fillId="0" borderId="0"/>
    <xf numFmtId="0" fontId="2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488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169" fontId="0" fillId="0" borderId="0" xfId="0" applyNumberFormat="1"/>
    <xf numFmtId="4" fontId="0" fillId="0" borderId="0" xfId="0" applyNumberFormat="1" applyAlignment="1">
      <alignment horizont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0" xfId="0" applyFont="1"/>
    <xf numFmtId="0" fontId="0" fillId="0" borderId="0" xfId="0" applyBorder="1" applyAlignment="1">
      <alignment horizontal="left" vertical="center" wrapText="1"/>
    </xf>
    <xf numFmtId="0" fontId="6" fillId="0" borderId="0" xfId="0" applyFont="1"/>
    <xf numFmtId="0" fontId="0" fillId="2" borderId="0" xfId="0" applyFill="1"/>
    <xf numFmtId="0" fontId="0" fillId="0" borderId="0" xfId="0" applyFill="1"/>
    <xf numFmtId="0" fontId="10" fillId="0" borderId="0" xfId="0" applyFont="1" applyFill="1"/>
    <xf numFmtId="2" fontId="0" fillId="5" borderId="1" xfId="0" applyNumberFormat="1" applyFill="1" applyBorder="1" applyAlignment="1">
      <alignment horizontal="center" vertical="center" wrapText="1"/>
    </xf>
    <xf numFmtId="169" fontId="0" fillId="5" borderId="1" xfId="0" applyNumberFormat="1" applyFill="1" applyBorder="1" applyAlignment="1">
      <alignment horizontal="center" vertical="center" wrapText="1"/>
    </xf>
    <xf numFmtId="0" fontId="0" fillId="5" borderId="1" xfId="0" quotePrefix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center" wrapText="1"/>
    </xf>
    <xf numFmtId="10" fontId="4" fillId="5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6" fillId="0" borderId="0" xfId="0" applyFont="1" applyBorder="1"/>
    <xf numFmtId="0" fontId="13" fillId="0" borderId="2" xfId="0" applyFont="1" applyBorder="1"/>
    <xf numFmtId="0" fontId="6" fillId="0" borderId="2" xfId="0" applyFont="1" applyBorder="1"/>
    <xf numFmtId="165" fontId="13" fillId="0" borderId="2" xfId="0" applyNumberFormat="1" applyFont="1" applyBorder="1"/>
    <xf numFmtId="0" fontId="4" fillId="0" borderId="3" xfId="0" applyFont="1" applyBorder="1"/>
    <xf numFmtId="0" fontId="13" fillId="0" borderId="3" xfId="0" applyFont="1" applyBorder="1"/>
    <xf numFmtId="0" fontId="16" fillId="0" borderId="4" xfId="0" applyFont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10" fontId="13" fillId="0" borderId="6" xfId="34" applyNumberFormat="1" applyFont="1" applyBorder="1"/>
    <xf numFmtId="10" fontId="13" fillId="0" borderId="4" xfId="34" applyNumberFormat="1" applyFont="1" applyBorder="1"/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165" fontId="13" fillId="0" borderId="8" xfId="50" applyFont="1" applyBorder="1"/>
    <xf numFmtId="165" fontId="13" fillId="0" borderId="7" xfId="50" applyFont="1" applyBorder="1"/>
    <xf numFmtId="165" fontId="13" fillId="0" borderId="4" xfId="50" applyFont="1" applyBorder="1"/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165" fontId="13" fillId="3" borderId="1" xfId="50" applyFont="1" applyFill="1" applyBorder="1"/>
    <xf numFmtId="165" fontId="13" fillId="4" borderId="4" xfId="50" applyFont="1" applyFill="1" applyBorder="1"/>
    <xf numFmtId="10" fontId="13" fillId="0" borderId="9" xfId="34" applyNumberFormat="1" applyFont="1" applyFill="1" applyBorder="1"/>
    <xf numFmtId="10" fontId="13" fillId="0" borderId="5" xfId="34" applyNumberFormat="1" applyFont="1" applyFill="1" applyBorder="1"/>
    <xf numFmtId="165" fontId="13" fillId="3" borderId="10" xfId="50" applyFont="1" applyFill="1" applyBorder="1"/>
    <xf numFmtId="10" fontId="13" fillId="3" borderId="1" xfId="34" applyNumberFormat="1" applyFont="1" applyFill="1" applyBorder="1"/>
    <xf numFmtId="10" fontId="13" fillId="0" borderId="5" xfId="34" applyNumberFormat="1" applyFont="1" applyBorder="1"/>
    <xf numFmtId="10" fontId="13" fillId="0" borderId="11" xfId="34" applyNumberFormat="1" applyFont="1" applyBorder="1"/>
    <xf numFmtId="10" fontId="13" fillId="4" borderId="5" xfId="34" applyNumberFormat="1" applyFont="1" applyFill="1" applyBorder="1"/>
    <xf numFmtId="10" fontId="13" fillId="4" borderId="11" xfId="34" applyNumberFormat="1" applyFont="1" applyFill="1" applyBorder="1"/>
    <xf numFmtId="165" fontId="13" fillId="0" borderId="11" xfId="50" applyFont="1" applyFill="1" applyBorder="1"/>
    <xf numFmtId="165" fontId="13" fillId="0" borderId="11" xfId="50" applyFont="1" applyBorder="1"/>
    <xf numFmtId="165" fontId="13" fillId="0" borderId="12" xfId="50" applyFont="1" applyFill="1" applyBorder="1"/>
    <xf numFmtId="10" fontId="13" fillId="4" borderId="12" xfId="34" applyNumberFormat="1" applyFont="1" applyFill="1" applyBorder="1"/>
    <xf numFmtId="165" fontId="16" fillId="0" borderId="7" xfId="50" applyFont="1" applyBorder="1"/>
    <xf numFmtId="9" fontId="16" fillId="0" borderId="1" xfId="34" applyNumberFormat="1" applyFont="1" applyBorder="1" applyAlignment="1">
      <alignment horizontal="center"/>
    </xf>
    <xf numFmtId="165" fontId="16" fillId="0" borderId="1" xfId="50" applyFont="1" applyBorder="1" applyAlignment="1">
      <alignment horizontal="center"/>
    </xf>
    <xf numFmtId="165" fontId="13" fillId="0" borderId="1" xfId="0" applyNumberFormat="1" applyFont="1" applyBorder="1"/>
    <xf numFmtId="0" fontId="16" fillId="0" borderId="0" xfId="0" applyFont="1"/>
    <xf numFmtId="10" fontId="13" fillId="0" borderId="0" xfId="34" applyNumberFormat="1" applyFont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/>
    <xf numFmtId="0" fontId="4" fillId="5" borderId="1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vertical="center" wrapText="1"/>
    </xf>
    <xf numFmtId="49" fontId="20" fillId="0" borderId="0" xfId="22" applyNumberFormat="1" applyFont="1" applyBorder="1" applyAlignment="1">
      <alignment horizontal="center"/>
    </xf>
    <xf numFmtId="0" fontId="20" fillId="5" borderId="0" xfId="22" applyFont="1" applyFill="1" applyBorder="1" applyAlignment="1">
      <alignment vertical="center" wrapText="1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165" fontId="5" fillId="0" borderId="0" xfId="52" applyFont="1" applyFill="1" applyBorder="1" applyAlignment="1">
      <alignment horizontal="right" vertical="center"/>
    </xf>
    <xf numFmtId="4" fontId="5" fillId="0" borderId="0" xfId="8" applyNumberFormat="1" applyFont="1" applyFill="1" applyBorder="1" applyAlignment="1">
      <alignment horizontal="right" vertical="center"/>
    </xf>
    <xf numFmtId="0" fontId="21" fillId="6" borderId="15" xfId="24" applyFont="1" applyFill="1" applyBorder="1" applyAlignment="1"/>
    <xf numFmtId="164" fontId="9" fillId="0" borderId="16" xfId="24" applyNumberFormat="1" applyFont="1" applyBorder="1"/>
    <xf numFmtId="0" fontId="21" fillId="0" borderId="17" xfId="24" applyFont="1" applyBorder="1"/>
    <xf numFmtId="168" fontId="21" fillId="0" borderId="17" xfId="24" applyNumberFormat="1" applyFont="1" applyBorder="1"/>
    <xf numFmtId="170" fontId="9" fillId="0" borderId="18" xfId="24" applyNumberFormat="1" applyFont="1" applyBorder="1"/>
    <xf numFmtId="0" fontId="0" fillId="7" borderId="19" xfId="0" applyFill="1" applyBorder="1"/>
    <xf numFmtId="0" fontId="0" fillId="7" borderId="20" xfId="0" applyFill="1" applyBorder="1"/>
    <xf numFmtId="0" fontId="0" fillId="7" borderId="21" xfId="0" applyFill="1" applyBorder="1"/>
    <xf numFmtId="164" fontId="0" fillId="0" borderId="0" xfId="0" applyNumberFormat="1"/>
    <xf numFmtId="166" fontId="5" fillId="0" borderId="0" xfId="8" applyNumberFormat="1" applyFont="1" applyFill="1" applyBorder="1" applyAlignment="1">
      <alignment horizontal="right" vertical="center"/>
    </xf>
    <xf numFmtId="4" fontId="4" fillId="5" borderId="1" xfId="0" applyNumberFormat="1" applyFont="1" applyFill="1" applyBorder="1" applyAlignment="1">
      <alignment horizontal="center" vertical="center"/>
    </xf>
    <xf numFmtId="10" fontId="4" fillId="0" borderId="0" xfId="44" applyNumberFormat="1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4" fontId="9" fillId="5" borderId="0" xfId="0" applyNumberFormat="1" applyFont="1" applyFill="1" applyBorder="1" applyAlignment="1">
      <alignment horizontal="center" vertical="center" wrapText="1"/>
    </xf>
    <xf numFmtId="4" fontId="9" fillId="8" borderId="0" xfId="0" applyNumberFormat="1" applyFont="1" applyFill="1" applyBorder="1" applyAlignment="1">
      <alignment horizontal="center" vertical="center" wrapText="1"/>
    </xf>
    <xf numFmtId="4" fontId="9" fillId="8" borderId="0" xfId="0" applyNumberFormat="1" applyFont="1" applyFill="1" applyBorder="1" applyAlignment="1">
      <alignment horizontal="center" vertical="center"/>
    </xf>
    <xf numFmtId="4" fontId="6" fillId="8" borderId="0" xfId="0" applyNumberFormat="1" applyFont="1" applyFill="1" applyBorder="1" applyAlignment="1">
      <alignment horizontal="right" vertical="center"/>
    </xf>
    <xf numFmtId="4" fontId="6" fillId="8" borderId="0" xfId="45" applyNumberFormat="1" applyFont="1" applyFill="1" applyBorder="1" applyAlignment="1">
      <alignment vertical="center"/>
    </xf>
    <xf numFmtId="4" fontId="4" fillId="8" borderId="0" xfId="0" applyNumberFormat="1" applyFont="1" applyFill="1" applyBorder="1" applyAlignment="1">
      <alignment horizontal="right" vertical="center"/>
    </xf>
    <xf numFmtId="0" fontId="6" fillId="5" borderId="0" xfId="0" applyNumberFormat="1" applyFont="1" applyFill="1" applyBorder="1" applyAlignment="1">
      <alignment horizontal="center" vertical="center"/>
    </xf>
    <xf numFmtId="0" fontId="4" fillId="5" borderId="0" xfId="0" quotePrefix="1" applyFont="1" applyFill="1" applyBorder="1" applyAlignment="1">
      <alignment horizontal="center" vertical="center" wrapText="1"/>
    </xf>
    <xf numFmtId="4" fontId="15" fillId="8" borderId="0" xfId="0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justify" vertical="center" wrapText="1"/>
    </xf>
    <xf numFmtId="4" fontId="6" fillId="5" borderId="0" xfId="45" applyNumberFormat="1" applyFont="1" applyFill="1" applyBorder="1" applyAlignment="1">
      <alignment vertical="center"/>
    </xf>
    <xf numFmtId="0" fontId="0" fillId="5" borderId="1" xfId="0" applyNumberForma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167" fontId="12" fillId="5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9" fillId="0" borderId="0" xfId="0" applyFont="1" applyBorder="1" applyAlignment="1"/>
    <xf numFmtId="0" fontId="9" fillId="0" borderId="24" xfId="0" applyFont="1" applyBorder="1" applyAlignment="1">
      <alignment horizontal="right"/>
    </xf>
    <xf numFmtId="0" fontId="21" fillId="0" borderId="0" xfId="24" applyFont="1" applyBorder="1"/>
    <xf numFmtId="4" fontId="6" fillId="0" borderId="0" xfId="45" applyNumberFormat="1" applyFont="1" applyFill="1" applyBorder="1" applyAlignment="1">
      <alignment vertical="center"/>
    </xf>
    <xf numFmtId="0" fontId="12" fillId="5" borderId="1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6" fillId="5" borderId="25" xfId="0" applyFont="1" applyFill="1" applyBorder="1" applyAlignment="1">
      <alignment horizontal="center" vertical="center"/>
    </xf>
    <xf numFmtId="169" fontId="0" fillId="5" borderId="25" xfId="0" applyNumberFormat="1" applyFill="1" applyBorder="1" applyAlignment="1">
      <alignment horizontal="center" vertical="center" wrapText="1"/>
    </xf>
    <xf numFmtId="4" fontId="6" fillId="5" borderId="22" xfId="0" applyNumberFormat="1" applyFont="1" applyFill="1" applyBorder="1" applyAlignment="1">
      <alignment horizontal="center" vertical="center" wrapText="1"/>
    </xf>
    <xf numFmtId="4" fontId="6" fillId="5" borderId="10" xfId="0" applyNumberFormat="1" applyFont="1" applyFill="1" applyBorder="1" applyAlignment="1">
      <alignment horizontal="center" vertical="center"/>
    </xf>
    <xf numFmtId="4" fontId="6" fillId="5" borderId="23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13" fillId="0" borderId="7" xfId="34" applyNumberFormat="1" applyFont="1" applyBorder="1"/>
    <xf numFmtId="10" fontId="13" fillId="0" borderId="12" xfId="34" applyNumberFormat="1" applyFont="1" applyFill="1" applyBorder="1"/>
    <xf numFmtId="0" fontId="13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165" fontId="13" fillId="0" borderId="28" xfId="50" applyFont="1" applyBorder="1"/>
    <xf numFmtId="165" fontId="13" fillId="0" borderId="27" xfId="50" applyFont="1" applyBorder="1"/>
    <xf numFmtId="0" fontId="16" fillId="4" borderId="22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10" fontId="4" fillId="0" borderId="0" xfId="44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" fontId="6" fillId="11" borderId="0" xfId="0" applyNumberFormat="1" applyFont="1" applyFill="1" applyBorder="1" applyAlignment="1">
      <alignment horizontal="right" vertical="center"/>
    </xf>
    <xf numFmtId="0" fontId="0" fillId="11" borderId="0" xfId="0" applyFill="1" applyAlignment="1">
      <alignment vertical="center" wrapText="1"/>
    </xf>
    <xf numFmtId="0" fontId="21" fillId="11" borderId="0" xfId="24" applyFont="1" applyFill="1" applyBorder="1"/>
    <xf numFmtId="4" fontId="6" fillId="11" borderId="0" xfId="45" applyNumberFormat="1" applyFont="1" applyFill="1" applyBorder="1" applyAlignment="1">
      <alignment vertical="center"/>
    </xf>
    <xf numFmtId="0" fontId="4" fillId="11" borderId="0" xfId="0" applyFont="1" applyFill="1" applyAlignment="1">
      <alignment vertical="center"/>
    </xf>
    <xf numFmtId="168" fontId="21" fillId="11" borderId="0" xfId="24" applyNumberFormat="1" applyFont="1" applyFill="1" applyBorder="1"/>
    <xf numFmtId="0" fontId="11" fillId="11" borderId="0" xfId="0" applyFont="1" applyFill="1" applyAlignment="1">
      <alignment vertical="center"/>
    </xf>
    <xf numFmtId="0" fontId="6" fillId="11" borderId="0" xfId="0" applyFont="1" applyFill="1" applyBorder="1" applyAlignment="1">
      <alignment vertical="center"/>
    </xf>
    <xf numFmtId="0" fontId="0" fillId="11" borderId="0" xfId="0" applyFill="1" applyBorder="1" applyAlignment="1">
      <alignment vertical="center"/>
    </xf>
    <xf numFmtId="0" fontId="10" fillId="11" borderId="0" xfId="0" applyFont="1" applyFill="1" applyAlignment="1">
      <alignment vertical="center" wrapText="1"/>
    </xf>
    <xf numFmtId="0" fontId="4" fillId="11" borderId="0" xfId="0" quotePrefix="1" applyFont="1" applyFill="1" applyBorder="1" applyAlignment="1">
      <alignment horizontal="center" vertical="center" wrapText="1"/>
    </xf>
    <xf numFmtId="0" fontId="0" fillId="11" borderId="0" xfId="0" applyFill="1"/>
    <xf numFmtId="0" fontId="10" fillId="11" borderId="0" xfId="0" applyFont="1" applyFill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169" fontId="0" fillId="2" borderId="0" xfId="0" applyNumberFormat="1" applyFill="1" applyBorder="1"/>
    <xf numFmtId="4" fontId="0" fillId="2" borderId="0" xfId="0" applyNumberFormat="1" applyFill="1" applyBorder="1" applyAlignment="1">
      <alignment horizontal="center"/>
    </xf>
    <xf numFmtId="0" fontId="4" fillId="5" borderId="53" xfId="0" applyFont="1" applyFill="1" applyBorder="1" applyAlignment="1">
      <alignment horizontal="left" vertical="center"/>
    </xf>
    <xf numFmtId="0" fontId="6" fillId="5" borderId="53" xfId="0" applyFont="1" applyFill="1" applyBorder="1" applyAlignment="1">
      <alignment horizontal="left" vertical="center"/>
    </xf>
    <xf numFmtId="0" fontId="6" fillId="0" borderId="53" xfId="0" applyFont="1" applyFill="1" applyBorder="1" applyAlignment="1">
      <alignment horizontal="left" vertical="center"/>
    </xf>
    <xf numFmtId="0" fontId="4" fillId="0" borderId="53" xfId="0" applyFont="1" applyFill="1" applyBorder="1" applyAlignment="1">
      <alignment horizontal="left" vertical="center"/>
    </xf>
    <xf numFmtId="0" fontId="6" fillId="2" borderId="44" xfId="0" applyFont="1" applyFill="1" applyBorder="1"/>
    <xf numFmtId="0" fontId="0" fillId="2" borderId="45" xfId="0" applyFill="1" applyBorder="1"/>
    <xf numFmtId="0" fontId="0" fillId="2" borderId="57" xfId="0" applyFill="1" applyBorder="1"/>
    <xf numFmtId="0" fontId="6" fillId="2" borderId="58" xfId="0" applyFont="1" applyFill="1" applyBorder="1"/>
    <xf numFmtId="0" fontId="0" fillId="2" borderId="58" xfId="0" applyFill="1" applyBorder="1" applyAlignment="1">
      <alignment horizontal="center"/>
    </xf>
    <xf numFmtId="169" fontId="0" fillId="2" borderId="58" xfId="0" applyNumberFormat="1" applyFill="1" applyBorder="1"/>
    <xf numFmtId="4" fontId="0" fillId="2" borderId="58" xfId="0" applyNumberFormat="1" applyFill="1" applyBorder="1" applyAlignment="1">
      <alignment horizontal="center"/>
    </xf>
    <xf numFmtId="0" fontId="0" fillId="2" borderId="58" xfId="0" applyFill="1" applyBorder="1"/>
    <xf numFmtId="0" fontId="0" fillId="2" borderId="59" xfId="0" applyFill="1" applyBorder="1"/>
    <xf numFmtId="0" fontId="25" fillId="0" borderId="0" xfId="0" applyFont="1" applyBorder="1" applyAlignment="1">
      <alignment vertical="center" wrapText="1"/>
    </xf>
    <xf numFmtId="0" fontId="25" fillId="0" borderId="45" xfId="0" applyFont="1" applyBorder="1" applyAlignment="1">
      <alignment vertical="center" wrapText="1"/>
    </xf>
    <xf numFmtId="0" fontId="25" fillId="0" borderId="4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/>
    <xf numFmtId="4" fontId="4" fillId="5" borderId="52" xfId="0" applyNumberFormat="1" applyFont="1" applyFill="1" applyBorder="1" applyAlignment="1">
      <alignment horizontal="center" vertical="center"/>
    </xf>
    <xf numFmtId="10" fontId="4" fillId="5" borderId="52" xfId="0" applyNumberFormat="1" applyFont="1" applyFill="1" applyBorder="1" applyAlignment="1">
      <alignment horizontal="center" vertical="center"/>
    </xf>
    <xf numFmtId="4" fontId="6" fillId="5" borderId="52" xfId="0" applyNumberFormat="1" applyFont="1" applyFill="1" applyBorder="1" applyAlignment="1">
      <alignment horizontal="right" vertical="center" wrapText="1"/>
    </xf>
    <xf numFmtId="4" fontId="4" fillId="5" borderId="52" xfId="0" applyNumberFormat="1" applyFont="1" applyFill="1" applyBorder="1" applyAlignment="1">
      <alignment vertical="center"/>
    </xf>
    <xf numFmtId="4" fontId="6" fillId="0" borderId="52" xfId="0" applyNumberFormat="1" applyFont="1" applyFill="1" applyBorder="1" applyAlignment="1">
      <alignment horizontal="right" vertical="center" wrapText="1"/>
    </xf>
    <xf numFmtId="4" fontId="4" fillId="5" borderId="56" xfId="0" applyNumberFormat="1" applyFont="1" applyFill="1" applyBorder="1" applyAlignment="1">
      <alignment vertical="center"/>
    </xf>
    <xf numFmtId="4" fontId="4" fillId="5" borderId="61" xfId="0" applyNumberFormat="1" applyFont="1" applyFill="1" applyBorder="1" applyAlignment="1">
      <alignment horizontal="right"/>
    </xf>
    <xf numFmtId="0" fontId="0" fillId="0" borderId="0" xfId="0" applyBorder="1" applyAlignment="1">
      <alignment wrapText="1"/>
    </xf>
    <xf numFmtId="4" fontId="9" fillId="9" borderId="0" xfId="0" applyNumberFormat="1" applyFont="1" applyFill="1" applyBorder="1" applyAlignment="1">
      <alignment horizontal="center" vertical="center"/>
    </xf>
    <xf numFmtId="0" fontId="4" fillId="9" borderId="0" xfId="0" applyFont="1" applyFill="1" applyBorder="1" applyAlignment="1">
      <alignment vertical="center"/>
    </xf>
    <xf numFmtId="10" fontId="6" fillId="9" borderId="0" xfId="0" applyNumberFormat="1" applyFont="1" applyFill="1" applyBorder="1" applyAlignment="1">
      <alignment horizontal="right" vertical="center"/>
    </xf>
    <xf numFmtId="4" fontId="6" fillId="9" borderId="0" xfId="0" applyNumberFormat="1" applyFont="1" applyFill="1" applyBorder="1" applyAlignment="1">
      <alignment vertical="center"/>
    </xf>
    <xf numFmtId="10" fontId="4" fillId="9" borderId="0" xfId="0" applyNumberFormat="1" applyFont="1" applyFill="1" applyBorder="1" applyAlignment="1">
      <alignment horizontal="right" vertical="center"/>
    </xf>
    <xf numFmtId="4" fontId="4" fillId="9" borderId="0" xfId="0" applyNumberFormat="1" applyFont="1" applyFill="1" applyBorder="1" applyAlignment="1">
      <alignment vertical="center"/>
    </xf>
    <xf numFmtId="10" fontId="6" fillId="11" borderId="0" xfId="0" applyNumberFormat="1" applyFont="1" applyFill="1" applyBorder="1" applyAlignment="1">
      <alignment horizontal="right" vertical="center"/>
    </xf>
    <xf numFmtId="4" fontId="6" fillId="11" borderId="0" xfId="0" applyNumberFormat="1" applyFont="1" applyFill="1" applyBorder="1" applyAlignment="1">
      <alignment vertical="center"/>
    </xf>
    <xf numFmtId="10" fontId="4" fillId="5" borderId="0" xfId="0" applyNumberFormat="1" applyFont="1" applyFill="1" applyBorder="1" applyAlignment="1">
      <alignment horizontal="right" vertical="center"/>
    </xf>
    <xf numFmtId="10" fontId="6" fillId="0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vertical="center"/>
    </xf>
    <xf numFmtId="4" fontId="15" fillId="9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10" fontId="13" fillId="0" borderId="1" xfId="34" applyNumberFormat="1" applyFont="1" applyBorder="1" applyAlignment="1">
      <alignment horizontal="center" vertical="center"/>
    </xf>
    <xf numFmtId="165" fontId="13" fillId="5" borderId="5" xfId="34" applyNumberFormat="1" applyFont="1" applyFill="1" applyBorder="1" applyAlignment="1">
      <alignment horizontal="center" vertical="center"/>
    </xf>
    <xf numFmtId="165" fontId="13" fillId="5" borderId="4" xfId="34" applyNumberFormat="1" applyFont="1" applyFill="1" applyBorder="1" applyAlignment="1">
      <alignment horizontal="center" vertical="center"/>
    </xf>
    <xf numFmtId="165" fontId="13" fillId="5" borderId="7" xfId="34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10" fontId="13" fillId="0" borderId="5" xfId="34" applyNumberFormat="1" applyFont="1" applyBorder="1" applyAlignment="1">
      <alignment horizontal="center" vertical="center"/>
    </xf>
    <xf numFmtId="10" fontId="13" fillId="0" borderId="4" xfId="34" applyNumberFormat="1" applyFont="1" applyBorder="1" applyAlignment="1">
      <alignment horizontal="center" vertical="center"/>
    </xf>
    <xf numFmtId="10" fontId="13" fillId="0" borderId="7" xfId="34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wrapText="1"/>
    </xf>
    <xf numFmtId="0" fontId="0" fillId="0" borderId="31" xfId="0" applyBorder="1" applyAlignment="1">
      <alignment wrapText="1"/>
    </xf>
    <xf numFmtId="0" fontId="0" fillId="0" borderId="26" xfId="0" applyBorder="1" applyAlignment="1">
      <alignment wrapText="1"/>
    </xf>
    <xf numFmtId="4" fontId="5" fillId="0" borderId="13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65" fontId="13" fillId="0" borderId="4" xfId="34" applyNumberFormat="1" applyFont="1" applyFill="1" applyBorder="1" applyAlignment="1">
      <alignment horizontal="center" vertical="center"/>
    </xf>
    <xf numFmtId="165" fontId="13" fillId="0" borderId="7" xfId="34" applyNumberFormat="1" applyFont="1" applyFill="1" applyBorder="1" applyAlignment="1">
      <alignment horizontal="center" vertical="center"/>
    </xf>
    <xf numFmtId="4" fontId="15" fillId="0" borderId="13" xfId="0" applyNumberFormat="1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4" fillId="0" borderId="3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0" fontId="13" fillId="0" borderId="5" xfId="0" applyNumberFormat="1" applyFont="1" applyBorder="1" applyAlignment="1">
      <alignment horizontal="center" vertical="center"/>
    </xf>
    <xf numFmtId="10" fontId="13" fillId="0" borderId="7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right" vertical="center"/>
    </xf>
    <xf numFmtId="4" fontId="13" fillId="0" borderId="7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0" fontId="13" fillId="0" borderId="5" xfId="34" applyNumberFormat="1" applyFont="1" applyBorder="1" applyAlignment="1">
      <alignment horizontal="center" vertical="center" wrapText="1"/>
    </xf>
    <xf numFmtId="10" fontId="13" fillId="0" borderId="4" xfId="34" applyNumberFormat="1" applyFont="1" applyBorder="1" applyAlignment="1">
      <alignment horizontal="center" vertical="center" wrapText="1"/>
    </xf>
    <xf numFmtId="10" fontId="13" fillId="0" borderId="7" xfId="34" applyNumberFormat="1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4" fillId="5" borderId="55" xfId="0" applyFont="1" applyFill="1" applyBorder="1" applyAlignment="1">
      <alignment horizontal="right" vertical="center" wrapText="1"/>
    </xf>
    <xf numFmtId="0" fontId="4" fillId="5" borderId="22" xfId="0" applyFont="1" applyFill="1" applyBorder="1" applyAlignment="1">
      <alignment horizontal="right" vertical="center" wrapText="1"/>
    </xf>
    <xf numFmtId="10" fontId="4" fillId="5" borderId="12" xfId="0" applyNumberFormat="1" applyFont="1" applyFill="1" applyBorder="1" applyAlignment="1">
      <alignment horizontal="right" vertical="center"/>
    </xf>
    <xf numFmtId="10" fontId="4" fillId="5" borderId="9" xfId="0" applyNumberFormat="1" applyFont="1" applyFill="1" applyBorder="1" applyAlignment="1">
      <alignment horizontal="right" vertical="center"/>
    </xf>
    <xf numFmtId="0" fontId="4" fillId="5" borderId="54" xfId="0" applyFont="1" applyFill="1" applyBorder="1" applyAlignment="1">
      <alignment horizontal="left" vertical="center"/>
    </xf>
    <xf numFmtId="0" fontId="4" fillId="5" borderId="25" xfId="0" applyFont="1" applyFill="1" applyBorder="1" applyAlignment="1">
      <alignment horizontal="left" vertical="center"/>
    </xf>
    <xf numFmtId="0" fontId="4" fillId="5" borderId="25" xfId="0" quotePrefix="1" applyFont="1" applyFill="1" applyBorder="1" applyAlignment="1">
      <alignment horizontal="center" vertical="center" wrapText="1"/>
    </xf>
    <xf numFmtId="0" fontId="4" fillId="5" borderId="49" xfId="0" quotePrefix="1" applyFont="1" applyFill="1" applyBorder="1" applyAlignment="1">
      <alignment horizontal="center" vertical="center" wrapText="1"/>
    </xf>
    <xf numFmtId="0" fontId="9" fillId="5" borderId="55" xfId="0" applyFont="1" applyFill="1" applyBorder="1" applyAlignment="1">
      <alignment horizontal="right"/>
    </xf>
    <xf numFmtId="0" fontId="9" fillId="5" borderId="22" xfId="0" applyFont="1" applyFill="1" applyBorder="1" applyAlignment="1">
      <alignment horizontal="right"/>
    </xf>
    <xf numFmtId="0" fontId="6" fillId="5" borderId="23" xfId="0" applyFont="1" applyFill="1" applyBorder="1" applyAlignment="1">
      <alignment horizontal="left" vertical="center"/>
    </xf>
    <xf numFmtId="0" fontId="4" fillId="5" borderId="54" xfId="0" applyFont="1" applyFill="1" applyBorder="1" applyAlignment="1">
      <alignment horizontal="right" vertical="center" wrapText="1"/>
    </xf>
    <xf numFmtId="0" fontId="4" fillId="5" borderId="25" xfId="0" applyFont="1" applyFill="1" applyBorder="1" applyAlignment="1">
      <alignment horizontal="right" vertical="center" wrapText="1"/>
    </xf>
    <xf numFmtId="10" fontId="4" fillId="5" borderId="10" xfId="0" applyNumberFormat="1" applyFont="1" applyFill="1" applyBorder="1" applyAlignment="1">
      <alignment horizontal="right" vertical="center"/>
    </xf>
    <xf numFmtId="10" fontId="4" fillId="5" borderId="23" xfId="0" applyNumberFormat="1" applyFont="1" applyFill="1" applyBorder="1" applyAlignment="1">
      <alignment horizontal="right" vertical="center"/>
    </xf>
    <xf numFmtId="0" fontId="0" fillId="0" borderId="41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43" xfId="0" applyBorder="1" applyAlignment="1">
      <alignment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/>
    </xf>
    <xf numFmtId="0" fontId="9" fillId="5" borderId="51" xfId="0" applyFont="1" applyFill="1" applyBorder="1" applyAlignment="1">
      <alignment horizontal="center" vertical="center"/>
    </xf>
    <xf numFmtId="4" fontId="9" fillId="5" borderId="12" xfId="0" applyNumberFormat="1" applyFont="1" applyFill="1" applyBorder="1" applyAlignment="1">
      <alignment horizontal="center" vertical="center" wrapText="1"/>
    </xf>
    <xf numFmtId="4" fontId="9" fillId="5" borderId="22" xfId="0" applyNumberFormat="1" applyFont="1" applyFill="1" applyBorder="1" applyAlignment="1">
      <alignment horizontal="center" vertical="center" wrapText="1"/>
    </xf>
    <xf numFmtId="4" fontId="9" fillId="5" borderId="60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14" fontId="9" fillId="9" borderId="0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4" fontId="9" fillId="9" borderId="0" xfId="0" applyNumberFormat="1" applyFont="1" applyFill="1" applyBorder="1" applyAlignment="1">
      <alignment horizontal="center" vertical="center" wrapText="1"/>
    </xf>
    <xf numFmtId="10" fontId="13" fillId="9" borderId="0" xfId="0" applyNumberFormat="1" applyFont="1" applyFill="1" applyBorder="1" applyAlignment="1">
      <alignment horizontal="center" vertical="center"/>
    </xf>
    <xf numFmtId="0" fontId="24" fillId="0" borderId="44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1" fillId="11" borderId="0" xfId="24" applyFont="1" applyFill="1" applyBorder="1"/>
    <xf numFmtId="10" fontId="13" fillId="11" borderId="0" xfId="0" applyNumberFormat="1" applyFont="1" applyFill="1" applyBorder="1" applyAlignment="1">
      <alignment horizontal="center" vertical="center"/>
    </xf>
    <xf numFmtId="10" fontId="4" fillId="0" borderId="0" xfId="44" applyNumberFormat="1" applyFont="1" applyBorder="1" applyAlignment="1">
      <alignment horizontal="center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45" xfId="0" applyFont="1" applyBorder="1" applyAlignment="1">
      <alignment horizontal="right" vertical="center" wrapText="1"/>
    </xf>
    <xf numFmtId="0" fontId="4" fillId="0" borderId="44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45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right" vertical="center" wrapText="1"/>
    </xf>
    <xf numFmtId="0" fontId="9" fillId="5" borderId="49" xfId="0" applyFont="1" applyFill="1" applyBorder="1" applyAlignment="1">
      <alignment horizontal="right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1" fillId="0" borderId="0" xfId="24" applyFont="1" applyBorder="1"/>
    <xf numFmtId="0" fontId="4" fillId="5" borderId="53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right" vertical="center" wrapText="1"/>
    </xf>
    <xf numFmtId="10" fontId="4" fillId="5" borderId="1" xfId="0" applyNumberFormat="1" applyFont="1" applyFill="1" applyBorder="1" applyAlignment="1">
      <alignment horizontal="right" vertical="center"/>
    </xf>
    <xf numFmtId="169" fontId="9" fillId="5" borderId="1" xfId="0" applyNumberFormat="1" applyFont="1" applyFill="1" applyBorder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0" fontId="6" fillId="0" borderId="49" xfId="0" applyNumberFormat="1" applyFont="1" applyFill="1" applyBorder="1" applyAlignment="1">
      <alignment horizontal="center" vertical="center"/>
    </xf>
    <xf numFmtId="165" fontId="13" fillId="0" borderId="5" xfId="50" applyFont="1" applyFill="1" applyBorder="1" applyAlignment="1">
      <alignment horizontal="center"/>
    </xf>
    <xf numFmtId="165" fontId="13" fillId="0" borderId="4" xfId="50" applyFont="1" applyFill="1" applyBorder="1" applyAlignment="1">
      <alignment horizontal="center"/>
    </xf>
    <xf numFmtId="165" fontId="13" fillId="0" borderId="7" xfId="50" applyFont="1" applyFill="1" applyBorder="1" applyAlignment="1">
      <alignment horizontal="center"/>
    </xf>
    <xf numFmtId="10" fontId="13" fillId="0" borderId="5" xfId="34" applyNumberFormat="1" applyFont="1" applyFill="1" applyBorder="1" applyAlignment="1">
      <alignment horizontal="center"/>
    </xf>
    <xf numFmtId="10" fontId="13" fillId="0" borderId="4" xfId="34" applyNumberFormat="1" applyFont="1" applyFill="1" applyBorder="1" applyAlignment="1">
      <alignment horizontal="center"/>
    </xf>
    <xf numFmtId="10" fontId="13" fillId="0" borderId="7" xfId="34" applyNumberFormat="1" applyFont="1" applyFill="1" applyBorder="1" applyAlignment="1">
      <alignment horizontal="center"/>
    </xf>
    <xf numFmtId="165" fontId="13" fillId="0" borderId="5" xfId="34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0" fontId="13" fillId="0" borderId="27" xfId="34" applyNumberFormat="1" applyFont="1" applyBorder="1" applyAlignment="1">
      <alignment horizontal="center" vertical="center"/>
    </xf>
    <xf numFmtId="165" fontId="13" fillId="0" borderId="27" xfId="34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4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9" fillId="0" borderId="33" xfId="24" applyFont="1" applyBorder="1"/>
    <xf numFmtId="0" fontId="9" fillId="0" borderId="22" xfId="24" applyFont="1" applyBorder="1"/>
    <xf numFmtId="0" fontId="9" fillId="0" borderId="9" xfId="24" applyFont="1" applyBorder="1"/>
    <xf numFmtId="0" fontId="6" fillId="0" borderId="0" xfId="0" applyFont="1" applyBorder="1" applyAlignment="1">
      <alignment horizontal="left" vertical="top"/>
    </xf>
    <xf numFmtId="0" fontId="4" fillId="10" borderId="30" xfId="0" applyFont="1" applyFill="1" applyBorder="1" applyAlignment="1">
      <alignment horizontal="center" vertical="center"/>
    </xf>
    <xf numFmtId="0" fontId="4" fillId="10" borderId="31" xfId="0" applyFont="1" applyFill="1" applyBorder="1" applyAlignment="1">
      <alignment horizontal="center" vertical="center"/>
    </xf>
    <xf numFmtId="0" fontId="4" fillId="10" borderId="26" xfId="0" applyFont="1" applyFill="1" applyBorder="1" applyAlignment="1">
      <alignment horizontal="center" vertical="center"/>
    </xf>
    <xf numFmtId="0" fontId="4" fillId="10" borderId="32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9" fillId="6" borderId="34" xfId="24" applyFont="1" applyFill="1" applyBorder="1" applyAlignment="1">
      <alignment horizontal="center"/>
    </xf>
    <xf numFmtId="0" fontId="9" fillId="6" borderId="35" xfId="24" applyFont="1" applyFill="1" applyBorder="1" applyAlignment="1">
      <alignment horizontal="center"/>
    </xf>
    <xf numFmtId="0" fontId="9" fillId="6" borderId="36" xfId="24" applyFont="1" applyFill="1" applyBorder="1" applyAlignment="1">
      <alignment horizontal="center"/>
    </xf>
    <xf numFmtId="0" fontId="9" fillId="0" borderId="37" xfId="24" applyFont="1" applyBorder="1"/>
    <xf numFmtId="0" fontId="9" fillId="0" borderId="38" xfId="24" applyFont="1" applyBorder="1"/>
    <xf numFmtId="0" fontId="9" fillId="0" borderId="39" xfId="24" applyFont="1" applyBorder="1"/>
    <xf numFmtId="0" fontId="21" fillId="0" borderId="40" xfId="24" applyFont="1" applyBorder="1"/>
    <xf numFmtId="0" fontId="21" fillId="0" borderId="25" xfId="24" applyFont="1" applyBorder="1"/>
    <xf numFmtId="0" fontId="21" fillId="0" borderId="23" xfId="24" applyFont="1" applyBorder="1"/>
    <xf numFmtId="0" fontId="0" fillId="0" borderId="0" xfId="0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4" fillId="12" borderId="62" xfId="25" applyFont="1" applyFill="1" applyBorder="1" applyAlignment="1">
      <alignment horizontal="center" vertical="center"/>
    </xf>
    <xf numFmtId="0" fontId="4" fillId="12" borderId="63" xfId="24" applyFont="1" applyFill="1" applyBorder="1" applyAlignment="1">
      <alignment horizontal="left" vertical="center" wrapText="1"/>
    </xf>
    <xf numFmtId="0" fontId="4" fillId="12" borderId="16" xfId="24" applyFont="1" applyFill="1" applyBorder="1" applyAlignment="1">
      <alignment horizontal="center" vertical="center" wrapText="1"/>
    </xf>
    <xf numFmtId="0" fontId="4" fillId="0" borderId="64" xfId="24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4" fontId="4" fillId="5" borderId="17" xfId="0" applyNumberFormat="1" applyFont="1" applyFill="1" applyBorder="1" applyAlignment="1">
      <alignment horizontal="center" vertical="center" wrapText="1"/>
    </xf>
    <xf numFmtId="0" fontId="4" fillId="13" borderId="64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13" borderId="17" xfId="0" applyFont="1" applyFill="1" applyBorder="1" applyAlignment="1">
      <alignment horizontal="center"/>
    </xf>
    <xf numFmtId="49" fontId="6" fillId="0" borderId="64" xfId="25" applyNumberFormat="1" applyFont="1" applyFill="1" applyBorder="1" applyAlignment="1">
      <alignment horizontal="center" vertical="center"/>
    </xf>
    <xf numFmtId="0" fontId="6" fillId="0" borderId="1" xfId="25" applyFont="1" applyFill="1" applyBorder="1" applyAlignment="1">
      <alignment horizontal="left" wrapText="1"/>
    </xf>
    <xf numFmtId="0" fontId="6" fillId="0" borderId="1" xfId="25" applyFont="1" applyBorder="1" applyAlignment="1">
      <alignment horizontal="center" wrapText="1"/>
    </xf>
    <xf numFmtId="165" fontId="29" fillId="0" borderId="1" xfId="52" applyFont="1" applyFill="1" applyBorder="1" applyAlignment="1" applyProtection="1">
      <alignment horizontal="center"/>
    </xf>
    <xf numFmtId="165" fontId="29" fillId="0" borderId="1" xfId="52" applyFont="1" applyFill="1" applyBorder="1" applyAlignment="1">
      <alignment horizontal="center"/>
    </xf>
    <xf numFmtId="4" fontId="0" fillId="0" borderId="17" xfId="0" applyNumberFormat="1" applyFill="1" applyBorder="1" applyAlignment="1">
      <alignment horizontal="right"/>
    </xf>
    <xf numFmtId="0" fontId="6" fillId="5" borderId="65" xfId="0" applyFont="1" applyFill="1" applyBorder="1" applyAlignment="1">
      <alignment horizontal="left" wrapText="1"/>
    </xf>
    <xf numFmtId="0" fontId="6" fillId="5" borderId="65" xfId="0" applyFont="1" applyFill="1" applyBorder="1" applyAlignment="1">
      <alignment horizontal="center"/>
    </xf>
    <xf numFmtId="165" fontId="29" fillId="0" borderId="65" xfId="52" applyFont="1" applyFill="1" applyBorder="1" applyAlignment="1">
      <alignment horizontal="center"/>
    </xf>
    <xf numFmtId="4" fontId="0" fillId="0" borderId="66" xfId="0" applyNumberFormat="1" applyFill="1" applyBorder="1" applyAlignment="1">
      <alignment horizontal="right"/>
    </xf>
    <xf numFmtId="49" fontId="1" fillId="0" borderId="31" xfId="32" applyNumberFormat="1" applyFont="1" applyBorder="1" applyAlignment="1">
      <alignment horizontal="left"/>
    </xf>
    <xf numFmtId="49" fontId="6" fillId="0" borderId="31" xfId="32" applyNumberFormat="1" applyFont="1" applyBorder="1" applyAlignment="1">
      <alignment horizontal="left"/>
    </xf>
    <xf numFmtId="49" fontId="6" fillId="0" borderId="26" xfId="32" applyNumberFormat="1" applyFont="1" applyBorder="1" applyAlignment="1">
      <alignment horizontal="left"/>
    </xf>
    <xf numFmtId="165" fontId="9" fillId="14" borderId="32" xfId="52" applyFont="1" applyFill="1" applyBorder="1" applyAlignment="1">
      <alignment horizontal="right" vertical="center"/>
    </xf>
    <xf numFmtId="4" fontId="5" fillId="14" borderId="24" xfId="8" applyNumberFormat="1" applyFont="1" applyFill="1" applyBorder="1" applyAlignment="1">
      <alignment horizontal="right" vertical="center"/>
    </xf>
    <xf numFmtId="0" fontId="6" fillId="0" borderId="0" xfId="25" applyFont="1"/>
    <xf numFmtId="0" fontId="20" fillId="0" borderId="0" xfId="24" applyFont="1" applyBorder="1"/>
    <xf numFmtId="49" fontId="20" fillId="0" borderId="0" xfId="24" applyNumberFormat="1" applyFont="1" applyBorder="1" applyAlignment="1">
      <alignment horizontal="center"/>
    </xf>
    <xf numFmtId="0" fontId="4" fillId="15" borderId="62" xfId="0" applyFont="1" applyFill="1" applyBorder="1" applyAlignment="1">
      <alignment horizontal="center" vertical="center"/>
    </xf>
    <xf numFmtId="0" fontId="4" fillId="15" borderId="67" xfId="0" applyFont="1" applyFill="1" applyBorder="1" applyAlignment="1">
      <alignment horizontal="left" vertical="center" wrapText="1"/>
    </xf>
    <xf numFmtId="0" fontId="4" fillId="15" borderId="38" xfId="0" applyFont="1" applyFill="1" applyBorder="1" applyAlignment="1">
      <alignment horizontal="left" vertical="center" wrapText="1"/>
    </xf>
    <xf numFmtId="0" fontId="4" fillId="15" borderId="39" xfId="0" applyFont="1" applyFill="1" applyBorder="1" applyAlignment="1">
      <alignment horizontal="left" vertical="center" wrapText="1"/>
    </xf>
    <xf numFmtId="4" fontId="4" fillId="15" borderId="16" xfId="0" applyNumberFormat="1" applyFont="1" applyFill="1" applyBorder="1" applyAlignment="1">
      <alignment horizontal="center" vertical="center"/>
    </xf>
    <xf numFmtId="0" fontId="4" fillId="0" borderId="64" xfId="25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171" fontId="0" fillId="0" borderId="7" xfId="44" applyNumberFormat="1" applyFont="1" applyFill="1" applyBorder="1"/>
    <xf numFmtId="165" fontId="0" fillId="0" borderId="7" xfId="44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wrapText="1"/>
    </xf>
    <xf numFmtId="171" fontId="0" fillId="0" borderId="1" xfId="44" applyNumberFormat="1" applyFont="1" applyFill="1" applyBorder="1"/>
    <xf numFmtId="165" fontId="0" fillId="0" borderId="1" xfId="44" applyFont="1" applyBorder="1"/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49" fontId="6" fillId="5" borderId="64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2" fontId="0" fillId="5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0" fillId="5" borderId="17" xfId="0" applyNumberFormat="1" applyFill="1" applyBorder="1" applyAlignment="1">
      <alignment horizontal="right"/>
    </xf>
    <xf numFmtId="4" fontId="0" fillId="5" borderId="5" xfId="0" applyNumberFormat="1" applyFill="1" applyBorder="1" applyAlignment="1">
      <alignment horizontal="right"/>
    </xf>
    <xf numFmtId="49" fontId="1" fillId="0" borderId="31" xfId="32" applyNumberFormat="1" applyFont="1" applyBorder="1" applyAlignment="1">
      <alignment horizontal="left" wrapText="1"/>
    </xf>
    <xf numFmtId="49" fontId="1" fillId="0" borderId="26" xfId="32" applyNumberFormat="1" applyFont="1" applyBorder="1" applyAlignment="1">
      <alignment horizontal="left" wrapText="1"/>
    </xf>
    <xf numFmtId="165" fontId="5" fillId="14" borderId="34" xfId="52" applyFont="1" applyFill="1" applyBorder="1" applyAlignment="1">
      <alignment horizontal="right" vertical="center"/>
    </xf>
    <xf numFmtId="4" fontId="5" fillId="14" borderId="36" xfId="8" applyNumberFormat="1" applyFont="1" applyFill="1" applyBorder="1" applyAlignment="1">
      <alignment horizontal="right" vertical="center"/>
    </xf>
    <xf numFmtId="49" fontId="6" fillId="0" borderId="64" xfId="25" applyNumberFormat="1" applyFont="1" applyFill="1" applyBorder="1" applyAlignment="1">
      <alignment horizontal="center"/>
    </xf>
    <xf numFmtId="0" fontId="6" fillId="5" borderId="65" xfId="0" applyFont="1" applyFill="1" applyBorder="1" applyAlignment="1">
      <alignment horizontal="left"/>
    </xf>
    <xf numFmtId="0" fontId="20" fillId="0" borderId="0" xfId="0" applyFont="1" applyAlignment="1">
      <alignment vertical="center"/>
    </xf>
    <xf numFmtId="165" fontId="6" fillId="0" borderId="0" xfId="51" applyFont="1"/>
    <xf numFmtId="164" fontId="6" fillId="0" borderId="0" xfId="8" applyFont="1"/>
    <xf numFmtId="165" fontId="29" fillId="0" borderId="65" xfId="52" applyFont="1" applyFill="1" applyBorder="1" applyAlignment="1" applyProtection="1">
      <alignment horizontal="center"/>
    </xf>
    <xf numFmtId="0" fontId="4" fillId="15" borderId="63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171" fontId="0" fillId="0" borderId="7" xfId="44" applyNumberFormat="1" applyFont="1" applyBorder="1" applyAlignment="1">
      <alignment horizontal="center" vertical="center"/>
    </xf>
    <xf numFmtId="165" fontId="0" fillId="0" borderId="7" xfId="44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71" fontId="0" fillId="0" borderId="1" xfId="44" applyNumberFormat="1" applyFont="1" applyBorder="1" applyAlignment="1">
      <alignment horizontal="center" vertical="center"/>
    </xf>
    <xf numFmtId="165" fontId="0" fillId="0" borderId="1" xfId="44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9" fontId="6" fillId="0" borderId="64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0" fontId="6" fillId="5" borderId="1" xfId="0" applyFont="1" applyFill="1" applyBorder="1" applyAlignment="1">
      <alignment horizontal="left" wrapText="1"/>
    </xf>
    <xf numFmtId="4" fontId="0" fillId="5" borderId="18" xfId="0" applyNumberFormat="1" applyFill="1" applyBorder="1" applyAlignment="1">
      <alignment horizontal="right"/>
    </xf>
    <xf numFmtId="49" fontId="1" fillId="0" borderId="31" xfId="32" applyNumberFormat="1" applyFont="1" applyBorder="1" applyAlignment="1">
      <alignment horizontal="left"/>
    </xf>
    <xf numFmtId="49" fontId="1" fillId="0" borderId="31" xfId="32" applyNumberFormat="1" applyFont="1" applyBorder="1" applyAlignment="1"/>
    <xf numFmtId="49" fontId="1" fillId="0" borderId="26" xfId="32" applyNumberFormat="1" applyFont="1" applyBorder="1" applyAlignment="1"/>
    <xf numFmtId="0" fontId="4" fillId="0" borderId="1" xfId="0" applyFont="1" applyFill="1" applyBorder="1" applyAlignment="1">
      <alignment vertical="center" wrapText="1"/>
    </xf>
    <xf numFmtId="0" fontId="0" fillId="0" borderId="1" xfId="0" quotePrefix="1" applyFill="1" applyBorder="1" applyAlignment="1">
      <alignment horizontal="center" vertical="center"/>
    </xf>
    <xf numFmtId="169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10" fontId="4" fillId="0" borderId="5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/>
    </xf>
    <xf numFmtId="0" fontId="6" fillId="0" borderId="49" xfId="0" applyFont="1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25" xfId="0" applyFill="1" applyBorder="1" applyAlignment="1">
      <alignment vertical="center"/>
    </xf>
    <xf numFmtId="0" fontId="0" fillId="0" borderId="49" xfId="0" applyFill="1" applyBorder="1" applyAlignment="1">
      <alignment vertical="center"/>
    </xf>
    <xf numFmtId="169" fontId="6" fillId="0" borderId="1" xfId="0" applyNumberFormat="1" applyFont="1" applyFill="1" applyBorder="1" applyAlignment="1">
      <alignment horizontal="center" vertical="center" wrapText="1"/>
    </xf>
    <xf numFmtId="0" fontId="4" fillId="0" borderId="25" xfId="0" quotePrefix="1" applyFont="1" applyFill="1" applyBorder="1" applyAlignment="1">
      <alignment horizontal="center" vertical="center" wrapText="1"/>
    </xf>
    <xf numFmtId="0" fontId="4" fillId="0" borderId="49" xfId="0" quotePrefix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25" xfId="0" quotePrefix="1" applyFont="1" applyFill="1" applyBorder="1" applyAlignment="1">
      <alignment horizontal="center" vertical="center" wrapText="1"/>
    </xf>
    <xf numFmtId="0" fontId="4" fillId="0" borderId="49" xfId="0" quotePrefix="1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center" vertical="center" wrapText="1"/>
    </xf>
    <xf numFmtId="167" fontId="0" fillId="0" borderId="22" xfId="0" applyNumberFormat="1" applyFill="1" applyBorder="1" applyAlignment="1">
      <alignment horizontal="center" vertical="center" wrapText="1"/>
    </xf>
    <xf numFmtId="4" fontId="6" fillId="0" borderId="22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right" vertical="center" wrapText="1"/>
    </xf>
    <xf numFmtId="4" fontId="6" fillId="0" borderId="56" xfId="0" applyNumberFormat="1" applyFont="1" applyFill="1" applyBorder="1" applyAlignment="1">
      <alignment horizontal="right" vertical="center" wrapText="1"/>
    </xf>
    <xf numFmtId="167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169" fontId="0" fillId="0" borderId="0" xfId="0" applyNumberFormat="1" applyFill="1"/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6" fillId="0" borderId="68" xfId="0" applyFont="1" applyBorder="1" applyAlignment="1">
      <alignment horizontal="center" vertical="center"/>
    </xf>
    <xf numFmtId="165" fontId="0" fillId="0" borderId="69" xfId="44" applyFont="1" applyBorder="1"/>
    <xf numFmtId="0" fontId="6" fillId="0" borderId="64" xfId="0" applyFont="1" applyBorder="1" applyAlignment="1">
      <alignment horizontal="center" vertical="center"/>
    </xf>
    <xf numFmtId="49" fontId="6" fillId="5" borderId="70" xfId="0" applyNumberFormat="1" applyFont="1" applyFill="1" applyBorder="1" applyAlignment="1">
      <alignment horizontal="center"/>
    </xf>
    <xf numFmtId="0" fontId="0" fillId="0" borderId="65" xfId="0" applyFill="1" applyBorder="1" applyAlignment="1">
      <alignment horizontal="left"/>
    </xf>
    <xf numFmtId="2" fontId="0" fillId="5" borderId="65" xfId="0" applyNumberFormat="1" applyFill="1" applyBorder="1" applyAlignment="1">
      <alignment horizontal="right"/>
    </xf>
    <xf numFmtId="4" fontId="0" fillId="5" borderId="65" xfId="0" applyNumberFormat="1" applyFill="1" applyBorder="1" applyAlignment="1">
      <alignment horizontal="right"/>
    </xf>
    <xf numFmtId="4" fontId="0" fillId="5" borderId="66" xfId="0" applyNumberFormat="1" applyFill="1" applyBorder="1" applyAlignment="1">
      <alignment horizontal="right"/>
    </xf>
  </cellXfs>
  <cellStyles count="64">
    <cellStyle name="Cancel" xfId="1"/>
    <cellStyle name="Cancel 2" xfId="2"/>
    <cellStyle name="Excel Built-in Normal" xfId="3"/>
    <cellStyle name="Hiperlink 2" xfId="4"/>
    <cellStyle name="Hiperlink 3" xfId="5"/>
    <cellStyle name="Moeda 2" xfId="6"/>
    <cellStyle name="Moeda 2 2" xfId="7"/>
    <cellStyle name="Moeda 2 2 2" xfId="8"/>
    <cellStyle name="Moeda 2 3" xfId="9"/>
    <cellStyle name="Moeda 3" xfId="10"/>
    <cellStyle name="Moeda 3 2" xfId="11"/>
    <cellStyle name="Moeda 3 2 2" xfId="12"/>
    <cellStyle name="Moeda 3 2 3" xfId="13"/>
    <cellStyle name="Moeda 3 3" xfId="14"/>
    <cellStyle name="Moeda 4" xfId="15"/>
    <cellStyle name="Moeda 4 2" xfId="16"/>
    <cellStyle name="Moeda 5" xfId="17"/>
    <cellStyle name="Moeda 6" xfId="18"/>
    <cellStyle name="Moeda 7" xfId="19"/>
    <cellStyle name="Moeda 8" xfId="20"/>
    <cellStyle name="Normal" xfId="0" builtinId="0"/>
    <cellStyle name="Normal 2" xfId="21"/>
    <cellStyle name="Normal 2 2" xfId="22"/>
    <cellStyle name="Normal 2 2 2" xfId="23"/>
    <cellStyle name="Normal 2 2 2 2" xfId="24"/>
    <cellStyle name="Normal 2 2 3" xfId="25"/>
    <cellStyle name="Normal 2 3" xfId="26"/>
    <cellStyle name="Normal 2 4" xfId="27"/>
    <cellStyle name="Normal 2 5" xfId="28"/>
    <cellStyle name="Normal 3" xfId="29"/>
    <cellStyle name="Normal 3 2" xfId="30"/>
    <cellStyle name="Normal 4" xfId="31"/>
    <cellStyle name="Normal 5" xfId="32"/>
    <cellStyle name="Normal 6" xfId="33"/>
    <cellStyle name="Porcentagem 2" xfId="34"/>
    <cellStyle name="Porcentagem 2 2" xfId="35"/>
    <cellStyle name="Porcentagem 2 3" xfId="36"/>
    <cellStyle name="Porcentagem 2 4" xfId="37"/>
    <cellStyle name="Porcentagem 3" xfId="38"/>
    <cellStyle name="Porcentagem 3 2" xfId="39"/>
    <cellStyle name="Porcentagem 3 2 2" xfId="40"/>
    <cellStyle name="Porcentagem 3 3" xfId="41"/>
    <cellStyle name="Porcentagem 4" xfId="42"/>
    <cellStyle name="Porcentagem 5" xfId="43"/>
    <cellStyle name="Separador de milhares" xfId="44" builtinId="3"/>
    <cellStyle name="Separador de milhares 2" xfId="45"/>
    <cellStyle name="Separador de milhares 2 2" xfId="46"/>
    <cellStyle name="Separador de milhares 2 3" xfId="47"/>
    <cellStyle name="Separador de milhares 2 4" xfId="48"/>
    <cellStyle name="Separador de milhares 3" xfId="49"/>
    <cellStyle name="Vírgula 2" xfId="50"/>
    <cellStyle name="Vírgula 2 2" xfId="51"/>
    <cellStyle name="Vírgula 2 2 2" xfId="52"/>
    <cellStyle name="Vírgula 2 3" xfId="53"/>
    <cellStyle name="Vírgula 3" xfId="54"/>
    <cellStyle name="Vírgula 3 2" xfId="55"/>
    <cellStyle name="Vírgula 3 2 2" xfId="56"/>
    <cellStyle name="Vírgula 3 3" xfId="57"/>
    <cellStyle name="Vírgula 4" xfId="58"/>
    <cellStyle name="Vírgula 4 2" xfId="59"/>
    <cellStyle name="Vírgula 4 2 2" xfId="60"/>
    <cellStyle name="Vírgula 4 3" xfId="61"/>
    <cellStyle name="Vírgula 5" xfId="62"/>
    <cellStyle name="Vírgula 6" xfId="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19050</xdr:rowOff>
    </xdr:from>
    <xdr:to>
      <xdr:col>2</xdr:col>
      <xdr:colOff>981075</xdr:colOff>
      <xdr:row>8</xdr:row>
      <xdr:rowOff>9525</xdr:rowOff>
    </xdr:to>
    <xdr:pic>
      <xdr:nvPicPr>
        <xdr:cNvPr id="24641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38125" y="152400"/>
          <a:ext cx="14668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55</xdr:row>
      <xdr:rowOff>0</xdr:rowOff>
    </xdr:from>
    <xdr:to>
      <xdr:col>2</xdr:col>
      <xdr:colOff>152400</xdr:colOff>
      <xdr:row>55</xdr:row>
      <xdr:rowOff>152400</xdr:rowOff>
    </xdr:to>
    <xdr:sp macro="" textlink="">
      <xdr:nvSpPr>
        <xdr:cNvPr id="2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34397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152400</xdr:colOff>
      <xdr:row>64</xdr:row>
      <xdr:rowOff>152400</xdr:rowOff>
    </xdr:to>
    <xdr:sp macro="" textlink="">
      <xdr:nvSpPr>
        <xdr:cNvPr id="3" name="AutoShape 15" descr="http://187.17.2.135/orse/imagens/insumo.gif"/>
        <xdr:cNvSpPr>
          <a:spLocks noChangeAspect="1" noChangeArrowheads="1"/>
        </xdr:cNvSpPr>
      </xdr:nvSpPr>
      <xdr:spPr bwMode="auto">
        <a:xfrm>
          <a:off x="1628775" y="152876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60"/>
  <sheetViews>
    <sheetView showGridLines="0" workbookViewId="0">
      <selection activeCell="B3" sqref="B3:E3"/>
    </sheetView>
  </sheetViews>
  <sheetFormatPr defaultColWidth="11.42578125" defaultRowHeight="12.75"/>
  <cols>
    <col min="1" max="1" width="11.42578125" style="10"/>
    <col min="2" max="2" width="10.140625" style="10" customWidth="1"/>
    <col min="3" max="3" width="45.140625" style="10" customWidth="1"/>
    <col min="4" max="4" width="7.85546875" style="10" customWidth="1"/>
    <col min="5" max="5" width="20.85546875" style="10" customWidth="1"/>
    <col min="6" max="16384" width="11.42578125" style="10"/>
  </cols>
  <sheetData>
    <row r="1" spans="2:6" ht="2.25" customHeight="1" thickBot="1">
      <c r="B1" s="20"/>
      <c r="C1" s="20"/>
      <c r="D1" s="20"/>
      <c r="E1" s="20"/>
    </row>
    <row r="2" spans="2:6" ht="24" customHeight="1">
      <c r="B2" s="213" t="s">
        <v>21</v>
      </c>
      <c r="C2" s="214"/>
      <c r="D2" s="214"/>
      <c r="E2" s="215"/>
    </row>
    <row r="3" spans="2:6" ht="24.75" customHeight="1">
      <c r="B3" s="216" t="str">
        <f>'planilha de orçamento'!B5:I5</f>
        <v xml:space="preserve">            Execução de Obras de Construção de um Laboratório de Ciências</v>
      </c>
      <c r="C3" s="217"/>
      <c r="D3" s="217"/>
      <c r="E3" s="218"/>
    </row>
    <row r="4" spans="2:6" ht="24" customHeight="1">
      <c r="B4" s="223" t="str">
        <f>'planilha de orçamento'!B6:I6</f>
        <v xml:space="preserve"> Local da Obra:Rua Domingos Azzolini, Quadra 25, Centro .                                                                                                                                           Coordenadas geograficas da Obra:Latitude 14°47'55.88"S - Longitude 53°36'55.48"O</v>
      </c>
      <c r="C4" s="224"/>
      <c r="D4" s="224"/>
      <c r="E4" s="225"/>
    </row>
    <row r="5" spans="2:6" ht="21" customHeight="1" thickBot="1">
      <c r="B5" s="226" t="str">
        <f>'planilha de orçamento'!H10</f>
        <v>DATA:14/08/18</v>
      </c>
      <c r="C5" s="227"/>
      <c r="D5" s="22"/>
      <c r="E5" s="108" t="str">
        <f>'planilha de orçamento'!H7</f>
        <v>B.D.I: 27,63%</v>
      </c>
      <c r="F5" s="107"/>
    </row>
    <row r="6" spans="2:6" ht="6.75" customHeight="1">
      <c r="B6" s="25"/>
      <c r="C6" s="26"/>
      <c r="D6" s="26"/>
      <c r="E6" s="26"/>
      <c r="F6" s="21"/>
    </row>
    <row r="7" spans="2:6">
      <c r="B7" s="219" t="s">
        <v>22</v>
      </c>
      <c r="C7" s="219" t="s">
        <v>8</v>
      </c>
      <c r="D7" s="219" t="s">
        <v>9</v>
      </c>
      <c r="E7" s="112" t="s">
        <v>10</v>
      </c>
    </row>
    <row r="8" spans="2:6">
      <c r="B8" s="220"/>
      <c r="C8" s="220"/>
      <c r="D8" s="220"/>
      <c r="E8" s="113" t="s">
        <v>11</v>
      </c>
    </row>
    <row r="9" spans="2:6">
      <c r="B9" s="205">
        <v>1</v>
      </c>
      <c r="C9" s="210" t="s">
        <v>185</v>
      </c>
      <c r="D9" s="228">
        <f>(E9/E53)</f>
        <v>9.2299091532738783E-2</v>
      </c>
      <c r="E9" s="230">
        <f>'planilha de orçamento'!I17</f>
        <v>13303.74</v>
      </c>
    </row>
    <row r="10" spans="2:6">
      <c r="B10" s="206"/>
      <c r="C10" s="211"/>
      <c r="D10" s="229"/>
      <c r="E10" s="231"/>
    </row>
    <row r="11" spans="2:6">
      <c r="B11" s="194">
        <v>2</v>
      </c>
      <c r="C11" s="195" t="s">
        <v>23</v>
      </c>
      <c r="D11" s="204">
        <f>E11/$E$53</f>
        <v>3.4440083786789928E-2</v>
      </c>
      <c r="E11" s="221">
        <f>'planilha de orçamento'!I22</f>
        <v>4964.1000000000004</v>
      </c>
    </row>
    <row r="12" spans="2:6">
      <c r="B12" s="194"/>
      <c r="C12" s="195"/>
      <c r="D12" s="196"/>
      <c r="E12" s="221"/>
    </row>
    <row r="13" spans="2:6" ht="5.25" hidden="1" customHeight="1">
      <c r="B13" s="206"/>
      <c r="C13" s="211"/>
      <c r="D13" s="202"/>
      <c r="E13" s="222"/>
    </row>
    <row r="14" spans="2:6">
      <c r="B14" s="205">
        <v>3</v>
      </c>
      <c r="C14" s="210" t="s">
        <v>24</v>
      </c>
      <c r="D14" s="196">
        <f>E14/$E$53</f>
        <v>1.6844219621738387E-2</v>
      </c>
      <c r="E14" s="197">
        <f>'planilha de orçamento'!I27</f>
        <v>2427.88</v>
      </c>
    </row>
    <row r="15" spans="2:6">
      <c r="B15" s="194"/>
      <c r="C15" s="195"/>
      <c r="D15" s="196"/>
      <c r="E15" s="198"/>
    </row>
    <row r="16" spans="2:6" ht="3.75" customHeight="1">
      <c r="B16" s="206"/>
      <c r="C16" s="211"/>
      <c r="D16" s="196"/>
      <c r="E16" s="199"/>
    </row>
    <row r="17" spans="2:9">
      <c r="B17" s="205">
        <v>4</v>
      </c>
      <c r="C17" s="210" t="s">
        <v>131</v>
      </c>
      <c r="D17" s="204">
        <f>E17/$E$53</f>
        <v>6.510078447435666E-2</v>
      </c>
      <c r="E17" s="197">
        <f>'planilha de orçamento'!I37</f>
        <v>9383.4499999999989</v>
      </c>
    </row>
    <row r="18" spans="2:9">
      <c r="B18" s="194"/>
      <c r="C18" s="195"/>
      <c r="D18" s="196"/>
      <c r="E18" s="198"/>
    </row>
    <row r="19" spans="2:9" ht="3.75" customHeight="1">
      <c r="B19" s="206"/>
      <c r="C19" s="211"/>
      <c r="D19" s="196"/>
      <c r="E19" s="199"/>
    </row>
    <row r="20" spans="2:9">
      <c r="B20" s="205">
        <v>5</v>
      </c>
      <c r="C20" s="207" t="s">
        <v>29</v>
      </c>
      <c r="D20" s="202">
        <f>E20/$E$53</f>
        <v>0.17782644434527972</v>
      </c>
      <c r="E20" s="197">
        <f>'planilha de orçamento'!I52</f>
        <v>25631.42</v>
      </c>
    </row>
    <row r="21" spans="2:9">
      <c r="B21" s="194"/>
      <c r="C21" s="208"/>
      <c r="D21" s="203"/>
      <c r="E21" s="198"/>
      <c r="I21" s="63"/>
    </row>
    <row r="22" spans="2:9" ht="4.5" customHeight="1">
      <c r="B22" s="206"/>
      <c r="C22" s="209"/>
      <c r="D22" s="204"/>
      <c r="E22" s="199"/>
    </row>
    <row r="23" spans="2:9" ht="13.5" customHeight="1">
      <c r="B23" s="205">
        <v>6</v>
      </c>
      <c r="C23" s="210" t="s">
        <v>132</v>
      </c>
      <c r="D23" s="202">
        <f>E23/$E$53</f>
        <v>2.2726944757109333E-3</v>
      </c>
      <c r="E23" s="197">
        <f>'planilha de orçamento'!I55</f>
        <v>327.58</v>
      </c>
    </row>
    <row r="24" spans="2:9">
      <c r="B24" s="194"/>
      <c r="C24" s="195"/>
      <c r="D24" s="203"/>
      <c r="E24" s="198"/>
    </row>
    <row r="25" spans="2:9" ht="5.25" customHeight="1">
      <c r="B25" s="194"/>
      <c r="C25" s="211"/>
      <c r="D25" s="204"/>
      <c r="E25" s="199"/>
    </row>
    <row r="26" spans="2:9">
      <c r="B26" s="232">
        <v>7</v>
      </c>
      <c r="C26" s="207" t="s">
        <v>133</v>
      </c>
      <c r="D26" s="235">
        <f>E26/$E$53</f>
        <v>6.6060494550750498E-2</v>
      </c>
      <c r="E26" s="197">
        <f>('planilha de orçamento'!I61)</f>
        <v>9521.7799999999988</v>
      </c>
    </row>
    <row r="27" spans="2:9">
      <c r="B27" s="233"/>
      <c r="C27" s="208"/>
      <c r="D27" s="236"/>
      <c r="E27" s="198"/>
    </row>
    <row r="28" spans="2:9" ht="6" customHeight="1">
      <c r="B28" s="234"/>
      <c r="C28" s="209"/>
      <c r="D28" s="237"/>
      <c r="E28" s="199"/>
    </row>
    <row r="29" spans="2:9">
      <c r="B29" s="39"/>
      <c r="C29" s="40"/>
      <c r="D29" s="202">
        <f>E29/$E$53</f>
        <v>9.3029090045267979E-2</v>
      </c>
      <c r="E29" s="197">
        <f>('planilha de orçamento'!I69)</f>
        <v>13408.960000000003</v>
      </c>
    </row>
    <row r="30" spans="2:9" ht="11.25" customHeight="1">
      <c r="B30" s="30">
        <v>8</v>
      </c>
      <c r="C30" s="31" t="s">
        <v>134</v>
      </c>
      <c r="D30" s="203"/>
      <c r="E30" s="198"/>
    </row>
    <row r="31" spans="2:9" ht="6.75" customHeight="1">
      <c r="B31" s="34"/>
      <c r="C31" s="35"/>
      <c r="D31" s="204"/>
      <c r="E31" s="199"/>
    </row>
    <row r="32" spans="2:9">
      <c r="B32" s="194">
        <v>9</v>
      </c>
      <c r="C32" s="195" t="s">
        <v>135</v>
      </c>
      <c r="D32" s="196">
        <f>E32/$E$53</f>
        <v>0.10563679292407906</v>
      </c>
      <c r="E32" s="197">
        <f>('planilha de orçamento'!I78)</f>
        <v>15226.2</v>
      </c>
    </row>
    <row r="33" spans="2:5">
      <c r="B33" s="194"/>
      <c r="C33" s="195"/>
      <c r="D33" s="196"/>
      <c r="E33" s="198"/>
    </row>
    <row r="34" spans="2:5">
      <c r="B34" s="194"/>
      <c r="C34" s="195"/>
      <c r="D34" s="196"/>
      <c r="E34" s="199"/>
    </row>
    <row r="35" spans="2:5">
      <c r="B35" s="212">
        <v>10</v>
      </c>
      <c r="C35" s="210" t="s">
        <v>136</v>
      </c>
      <c r="D35" s="196">
        <f>E35/$E$53</f>
        <v>4.6275328631149415E-2</v>
      </c>
      <c r="E35" s="197">
        <f>('planilha de orçamento'!I82)</f>
        <v>6670</v>
      </c>
    </row>
    <row r="36" spans="2:5">
      <c r="B36" s="212"/>
      <c r="C36" s="195"/>
      <c r="D36" s="196"/>
      <c r="E36" s="198"/>
    </row>
    <row r="37" spans="2:5">
      <c r="B37" s="212"/>
      <c r="C37" s="211"/>
      <c r="D37" s="196"/>
      <c r="E37" s="199"/>
    </row>
    <row r="38" spans="2:5">
      <c r="B38" s="212">
        <v>11</v>
      </c>
      <c r="C38" s="210" t="s">
        <v>30</v>
      </c>
      <c r="D38" s="196">
        <f>E38/$E$53</f>
        <v>6.0924418720819482E-2</v>
      </c>
      <c r="E38" s="197">
        <f>('planilha de orçamento'!I87)</f>
        <v>8781.48</v>
      </c>
    </row>
    <row r="39" spans="2:5">
      <c r="B39" s="212"/>
      <c r="C39" s="195"/>
      <c r="D39" s="196"/>
      <c r="E39" s="198"/>
    </row>
    <row r="40" spans="2:5">
      <c r="B40" s="212"/>
      <c r="C40" s="211"/>
      <c r="D40" s="196"/>
      <c r="E40" s="199"/>
    </row>
    <row r="41" spans="2:5">
      <c r="B41" s="212">
        <v>12</v>
      </c>
      <c r="C41" s="210" t="s">
        <v>137</v>
      </c>
      <c r="D41" s="196">
        <f>E41/$E$53</f>
        <v>5.9159295915671511E-2</v>
      </c>
      <c r="E41" s="197">
        <f>('planilha de orçamento'!I94)</f>
        <v>8527.0600000000013</v>
      </c>
    </row>
    <row r="42" spans="2:5">
      <c r="B42" s="212"/>
      <c r="C42" s="195"/>
      <c r="D42" s="196"/>
      <c r="E42" s="198"/>
    </row>
    <row r="43" spans="2:5">
      <c r="B43" s="212"/>
      <c r="C43" s="211"/>
      <c r="D43" s="196"/>
      <c r="E43" s="199"/>
    </row>
    <row r="44" spans="2:5">
      <c r="B44" s="212">
        <v>13</v>
      </c>
      <c r="C44" s="210" t="s">
        <v>138</v>
      </c>
      <c r="D44" s="196">
        <f>E44/$E$53</f>
        <v>2.1975508348707561E-2</v>
      </c>
      <c r="E44" s="197">
        <f>('planilha de orçamento'!I123)</f>
        <v>3167.4899999999993</v>
      </c>
    </row>
    <row r="45" spans="2:5">
      <c r="B45" s="212"/>
      <c r="C45" s="195"/>
      <c r="D45" s="196"/>
      <c r="E45" s="198"/>
    </row>
    <row r="46" spans="2:5">
      <c r="B46" s="212"/>
      <c r="C46" s="211"/>
      <c r="D46" s="196"/>
      <c r="E46" s="199"/>
    </row>
    <row r="47" spans="2:5">
      <c r="B47" s="212">
        <v>14</v>
      </c>
      <c r="C47" s="210" t="s">
        <v>302</v>
      </c>
      <c r="D47" s="196">
        <f>E47/$E$53</f>
        <v>3.6181826103559064E-2</v>
      </c>
      <c r="E47" s="197">
        <f>('planilha de orçamento'!I147)</f>
        <v>5215.1500000000015</v>
      </c>
    </row>
    <row r="48" spans="2:5">
      <c r="B48" s="212"/>
      <c r="C48" s="195"/>
      <c r="D48" s="196"/>
      <c r="E48" s="198"/>
    </row>
    <row r="49" spans="2:5">
      <c r="B49" s="212"/>
      <c r="C49" s="211"/>
      <c r="D49" s="196"/>
      <c r="E49" s="199"/>
    </row>
    <row r="50" spans="2:5">
      <c r="B50" s="212">
        <v>15</v>
      </c>
      <c r="C50" s="210" t="s">
        <v>139</v>
      </c>
      <c r="D50" s="196">
        <f>E50/$E$53</f>
        <v>0.12197392652338106</v>
      </c>
      <c r="E50" s="197">
        <f>('planilha de orçamento'!I151)</f>
        <v>17580.990000000002</v>
      </c>
    </row>
    <row r="51" spans="2:5">
      <c r="B51" s="212"/>
      <c r="C51" s="195"/>
      <c r="D51" s="196"/>
      <c r="E51" s="198"/>
    </row>
    <row r="52" spans="2:5">
      <c r="B52" s="212"/>
      <c r="C52" s="211"/>
      <c r="D52" s="196"/>
      <c r="E52" s="199"/>
    </row>
    <row r="53" spans="2:5">
      <c r="B53" s="200" t="s">
        <v>18</v>
      </c>
      <c r="C53" s="201"/>
      <c r="D53" s="56">
        <f>SUM(D9:D52)</f>
        <v>0.99999999999999989</v>
      </c>
      <c r="E53" s="57">
        <f>SUM(E9:E52)</f>
        <v>144137.28</v>
      </c>
    </row>
    <row r="54" spans="2:5">
      <c r="B54" s="20"/>
      <c r="C54" s="20"/>
      <c r="D54" s="20"/>
      <c r="E54" s="20"/>
    </row>
    <row r="55" spans="2:5">
      <c r="B55" s="20"/>
      <c r="C55" s="59"/>
      <c r="D55" s="59"/>
      <c r="E55" s="59"/>
    </row>
    <row r="56" spans="2:5">
      <c r="B56" s="20"/>
      <c r="C56" s="20"/>
      <c r="D56" s="20"/>
      <c r="E56" s="20"/>
    </row>
    <row r="57" spans="2:5">
      <c r="D57" s="21"/>
      <c r="E57" s="21"/>
    </row>
    <row r="58" spans="2:5">
      <c r="D58" s="21"/>
      <c r="E58" s="61"/>
    </row>
    <row r="59" spans="2:5">
      <c r="D59" s="21"/>
      <c r="E59" s="61"/>
    </row>
    <row r="60" spans="2:5">
      <c r="E60" s="62"/>
    </row>
  </sheetData>
  <mergeCells count="66">
    <mergeCell ref="E41:E43"/>
    <mergeCell ref="B44:B46"/>
    <mergeCell ref="C44:C46"/>
    <mergeCell ref="B47:B49"/>
    <mergeCell ref="C47:C49"/>
    <mergeCell ref="D47:D49"/>
    <mergeCell ref="E47:E49"/>
    <mergeCell ref="D44:D46"/>
    <mergeCell ref="E44:E46"/>
    <mergeCell ref="D11:D13"/>
    <mergeCell ref="E11:E13"/>
    <mergeCell ref="B4:E4"/>
    <mergeCell ref="B5:C5"/>
    <mergeCell ref="D35:D37"/>
    <mergeCell ref="E35:E37"/>
    <mergeCell ref="B35:B37"/>
    <mergeCell ref="C35:C37"/>
    <mergeCell ref="B9:B10"/>
    <mergeCell ref="C9:C10"/>
    <mergeCell ref="D9:D10"/>
    <mergeCell ref="E9:E10"/>
    <mergeCell ref="B26:B28"/>
    <mergeCell ref="C26:C28"/>
    <mergeCell ref="E26:E28"/>
    <mergeCell ref="D26:D28"/>
    <mergeCell ref="B2:E2"/>
    <mergeCell ref="E23:E25"/>
    <mergeCell ref="B14:B16"/>
    <mergeCell ref="C14:C16"/>
    <mergeCell ref="D14:D16"/>
    <mergeCell ref="E14:E16"/>
    <mergeCell ref="B17:B19"/>
    <mergeCell ref="C17:C19"/>
    <mergeCell ref="D17:D19"/>
    <mergeCell ref="E17:E19"/>
    <mergeCell ref="B3:E3"/>
    <mergeCell ref="B7:B8"/>
    <mergeCell ref="C7:C8"/>
    <mergeCell ref="D7:D8"/>
    <mergeCell ref="B11:B13"/>
    <mergeCell ref="C11:C13"/>
    <mergeCell ref="D29:D31"/>
    <mergeCell ref="E29:E31"/>
    <mergeCell ref="B20:B22"/>
    <mergeCell ref="C20:C22"/>
    <mergeCell ref="D20:D22"/>
    <mergeCell ref="E20:E22"/>
    <mergeCell ref="B23:B25"/>
    <mergeCell ref="C23:C25"/>
    <mergeCell ref="D23:D25"/>
    <mergeCell ref="B32:B34"/>
    <mergeCell ref="C32:C34"/>
    <mergeCell ref="D32:D34"/>
    <mergeCell ref="E32:E34"/>
    <mergeCell ref="B53:C53"/>
    <mergeCell ref="B38:B40"/>
    <mergeCell ref="C38:C40"/>
    <mergeCell ref="D38:D40"/>
    <mergeCell ref="E38:E40"/>
    <mergeCell ref="B50:B52"/>
    <mergeCell ref="C50:C52"/>
    <mergeCell ref="D50:D52"/>
    <mergeCell ref="E50:E52"/>
    <mergeCell ref="B41:B43"/>
    <mergeCell ref="C41:C43"/>
    <mergeCell ref="D41:D43"/>
  </mergeCells>
  <printOptions horizontalCentered="1"/>
  <pageMargins left="0.59055118110236227" right="0.11811023622047245" top="1.5748031496062993" bottom="0.43307086614173229" header="0" footer="0.51181102362204722"/>
  <pageSetup paperSize="9" scale="10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68"/>
  <sheetViews>
    <sheetView view="pageBreakPreview" zoomScaleSheetLayoutView="100" workbookViewId="0">
      <selection activeCell="C12" sqref="C12:C14"/>
    </sheetView>
  </sheetViews>
  <sheetFormatPr defaultRowHeight="12.75"/>
  <cols>
    <col min="1" max="1" width="3.5703125" style="12" customWidth="1"/>
    <col min="2" max="2" width="7.28515625" customWidth="1"/>
    <col min="3" max="3" width="68.28515625" customWidth="1"/>
    <col min="4" max="4" width="5" style="3" customWidth="1"/>
    <col min="5" max="5" width="12.85546875" style="4" customWidth="1"/>
    <col min="6" max="6" width="8.140625" style="4" bestFit="1" customWidth="1"/>
    <col min="7" max="7" width="10" style="5" customWidth="1"/>
    <col min="8" max="8" width="10.85546875" customWidth="1"/>
    <col min="9" max="9" width="11" bestFit="1" customWidth="1"/>
    <col min="10" max="10" width="8.28515625" hidden="1" customWidth="1"/>
    <col min="11" max="11" width="12.140625" hidden="1" customWidth="1"/>
    <col min="12" max="12" width="12.140625" customWidth="1"/>
    <col min="13" max="13" width="12.5703125" customWidth="1"/>
    <col min="14" max="14" width="10.140625" style="8" bestFit="1" customWidth="1"/>
    <col min="15" max="15" width="11.5703125" bestFit="1" customWidth="1"/>
  </cols>
  <sheetData>
    <row r="1" spans="1:17" ht="5.25" customHeight="1" thickBot="1"/>
    <row r="2" spans="1:17" s="1" customFormat="1" ht="5.25" customHeight="1" thickTop="1">
      <c r="A2" s="478"/>
      <c r="B2" s="259"/>
      <c r="C2" s="260"/>
      <c r="D2" s="260"/>
      <c r="E2" s="260"/>
      <c r="F2" s="260"/>
      <c r="G2" s="260"/>
      <c r="H2" s="260"/>
      <c r="I2" s="261"/>
      <c r="J2" s="180"/>
      <c r="K2" s="180"/>
      <c r="L2" s="85"/>
      <c r="N2" s="6"/>
    </row>
    <row r="3" spans="1:17" s="1" customFormat="1" ht="20.25" customHeight="1">
      <c r="A3" s="478"/>
      <c r="B3" s="279" t="s">
        <v>142</v>
      </c>
      <c r="C3" s="280"/>
      <c r="D3" s="280"/>
      <c r="E3" s="280"/>
      <c r="F3" s="280"/>
      <c r="G3" s="280"/>
      <c r="H3" s="280"/>
      <c r="I3" s="281"/>
      <c r="J3" s="168"/>
      <c r="K3" s="168"/>
      <c r="L3" s="137"/>
      <c r="N3" s="6"/>
    </row>
    <row r="4" spans="1:17" s="1" customFormat="1" ht="2.25" customHeight="1">
      <c r="A4" s="478"/>
      <c r="B4" s="170"/>
      <c r="C4" s="168"/>
      <c r="D4" s="168"/>
      <c r="E4" s="168"/>
      <c r="F4" s="168"/>
      <c r="G4" s="168"/>
      <c r="H4" s="168"/>
      <c r="I4" s="169"/>
      <c r="J4" s="168"/>
      <c r="K4" s="168"/>
      <c r="L4" s="137"/>
      <c r="N4" s="6"/>
    </row>
    <row r="5" spans="1:17" s="1" customFormat="1" ht="15" customHeight="1">
      <c r="A5" s="478"/>
      <c r="B5" s="238" t="s">
        <v>140</v>
      </c>
      <c r="C5" s="239"/>
      <c r="D5" s="239"/>
      <c r="E5" s="239"/>
      <c r="F5" s="239"/>
      <c r="G5" s="239"/>
      <c r="H5" s="239"/>
      <c r="I5" s="240"/>
      <c r="J5" s="171"/>
      <c r="K5" s="171"/>
      <c r="L5" s="137"/>
      <c r="N5" s="6"/>
    </row>
    <row r="6" spans="1:17" s="1" customFormat="1" ht="42" customHeight="1">
      <c r="A6" s="478"/>
      <c r="B6" s="238" t="s">
        <v>390</v>
      </c>
      <c r="C6" s="239"/>
      <c r="D6" s="239"/>
      <c r="E6" s="239"/>
      <c r="F6" s="239"/>
      <c r="G6" s="239"/>
      <c r="H6" s="239"/>
      <c r="I6" s="240"/>
      <c r="J6" s="172"/>
      <c r="K6" s="172"/>
      <c r="L6" s="9"/>
      <c r="N6" s="6"/>
    </row>
    <row r="7" spans="1:17" s="1" customFormat="1" ht="17.25" customHeight="1">
      <c r="A7" s="478"/>
      <c r="B7" s="238" t="s">
        <v>174</v>
      </c>
      <c r="C7" s="239"/>
      <c r="D7" s="239"/>
      <c r="E7" s="239"/>
      <c r="F7" s="239"/>
      <c r="G7" s="239"/>
      <c r="H7" s="288" t="s">
        <v>141</v>
      </c>
      <c r="I7" s="289"/>
      <c r="J7" s="284" t="s">
        <v>141</v>
      </c>
      <c r="K7" s="284"/>
      <c r="L7" s="137"/>
      <c r="N7" s="6"/>
    </row>
    <row r="8" spans="1:17" s="1" customFormat="1" ht="12.75" customHeight="1">
      <c r="A8" s="478"/>
      <c r="B8" s="290" t="s">
        <v>181</v>
      </c>
      <c r="C8" s="291"/>
      <c r="D8" s="291"/>
      <c r="E8" s="291"/>
      <c r="F8" s="291"/>
      <c r="G8" s="291"/>
      <c r="H8" s="291"/>
      <c r="I8" s="292"/>
      <c r="J8" s="284" t="s">
        <v>141</v>
      </c>
      <c r="K8" s="284"/>
      <c r="L8" s="137"/>
      <c r="N8" s="6"/>
    </row>
    <row r="9" spans="1:17" s="1" customFormat="1" ht="5.25" customHeight="1">
      <c r="A9" s="478"/>
      <c r="B9" s="285"/>
      <c r="C9" s="286"/>
      <c r="D9" s="286"/>
      <c r="E9" s="286"/>
      <c r="F9" s="286"/>
      <c r="G9" s="286"/>
      <c r="H9" s="286"/>
      <c r="I9" s="287"/>
      <c r="J9" s="136"/>
      <c r="K9" s="84"/>
      <c r="L9" s="84"/>
      <c r="N9" s="6"/>
    </row>
    <row r="10" spans="1:17" s="1" customFormat="1" ht="15" customHeight="1">
      <c r="A10" s="478"/>
      <c r="B10" s="294" t="s">
        <v>306</v>
      </c>
      <c r="C10" s="295"/>
      <c r="D10" s="295"/>
      <c r="E10" s="295"/>
      <c r="F10" s="295"/>
      <c r="G10" s="295"/>
      <c r="H10" s="296" t="s">
        <v>389</v>
      </c>
      <c r="I10" s="297"/>
      <c r="J10" s="293" t="s">
        <v>65</v>
      </c>
      <c r="K10" s="293"/>
      <c r="L10" s="86"/>
      <c r="N10" s="6"/>
    </row>
    <row r="11" spans="1:17" s="1" customFormat="1" ht="1.5" customHeight="1">
      <c r="A11" s="478"/>
      <c r="B11" s="262"/>
      <c r="C11" s="263"/>
      <c r="D11" s="263"/>
      <c r="E11" s="263"/>
      <c r="F11" s="263"/>
      <c r="G11" s="264"/>
      <c r="H11" s="264"/>
      <c r="I11" s="265"/>
      <c r="J11" s="137"/>
      <c r="K11" s="137"/>
      <c r="L11" s="137"/>
      <c r="N11" s="6"/>
    </row>
    <row r="12" spans="1:17" s="1" customFormat="1" ht="15">
      <c r="A12" s="478"/>
      <c r="B12" s="266" t="s">
        <v>0</v>
      </c>
      <c r="C12" s="276" t="s">
        <v>1</v>
      </c>
      <c r="D12" s="276" t="s">
        <v>2</v>
      </c>
      <c r="E12" s="298" t="s">
        <v>66</v>
      </c>
      <c r="F12" s="305" t="s">
        <v>45</v>
      </c>
      <c r="G12" s="269" t="s">
        <v>44</v>
      </c>
      <c r="H12" s="270"/>
      <c r="I12" s="271"/>
      <c r="J12" s="275">
        <v>42933</v>
      </c>
      <c r="K12" s="275"/>
      <c r="L12" s="87"/>
      <c r="N12" s="6"/>
    </row>
    <row r="13" spans="1:17" s="1" customFormat="1" ht="15" customHeight="1">
      <c r="A13" s="478"/>
      <c r="B13" s="267"/>
      <c r="C13" s="276"/>
      <c r="D13" s="276"/>
      <c r="E13" s="299"/>
      <c r="F13" s="305"/>
      <c r="G13" s="272"/>
      <c r="H13" s="273"/>
      <c r="I13" s="274"/>
      <c r="J13" s="277" t="s">
        <v>61</v>
      </c>
      <c r="K13" s="277"/>
      <c r="L13" s="88"/>
      <c r="N13" s="6"/>
    </row>
    <row r="14" spans="1:17" s="2" customFormat="1" ht="12.75" customHeight="1">
      <c r="A14" s="479"/>
      <c r="B14" s="268"/>
      <c r="C14" s="276"/>
      <c r="D14" s="276"/>
      <c r="E14" s="300"/>
      <c r="F14" s="305"/>
      <c r="G14" s="83" t="s">
        <v>3</v>
      </c>
      <c r="H14" s="83" t="s">
        <v>40</v>
      </c>
      <c r="I14" s="173" t="s">
        <v>41</v>
      </c>
      <c r="J14" s="181" t="s">
        <v>9</v>
      </c>
      <c r="K14" s="182" t="s">
        <v>62</v>
      </c>
      <c r="L14" s="89"/>
      <c r="M14" s="7"/>
      <c r="N14" s="7"/>
    </row>
    <row r="15" spans="1:17" s="1" customFormat="1" ht="15.75" customHeight="1">
      <c r="A15" s="478"/>
      <c r="B15" s="155">
        <v>1</v>
      </c>
      <c r="C15" s="17" t="s">
        <v>175</v>
      </c>
      <c r="D15" s="16"/>
      <c r="E15" s="15"/>
      <c r="F15" s="18"/>
      <c r="G15" s="14"/>
      <c r="H15" s="19">
        <v>0.27629999999999999</v>
      </c>
      <c r="I15" s="174"/>
      <c r="J15" s="278" t="s">
        <v>63</v>
      </c>
      <c r="K15" s="278"/>
      <c r="L15" s="90"/>
      <c r="N15" s="301"/>
      <c r="O15" s="301"/>
      <c r="P15" s="301"/>
      <c r="Q15" s="109"/>
    </row>
    <row r="16" spans="1:17" s="2" customFormat="1" ht="24">
      <c r="A16" s="479"/>
      <c r="B16" s="156" t="s">
        <v>189</v>
      </c>
      <c r="C16" s="104" t="s">
        <v>180</v>
      </c>
      <c r="D16" s="103" t="s">
        <v>121</v>
      </c>
      <c r="E16" s="111" t="s">
        <v>103</v>
      </c>
      <c r="F16" s="100">
        <v>1</v>
      </c>
      <c r="G16" s="101">
        <f>COMPOSIÇÕES!G11</f>
        <v>10423.68</v>
      </c>
      <c r="H16" s="102">
        <f>TRUNC(G16*$H$15+G16,2)</f>
        <v>13303.74</v>
      </c>
      <c r="I16" s="175">
        <f>TRUNC(H16*F16,2)</f>
        <v>13303.74</v>
      </c>
      <c r="J16" s="183">
        <v>0</v>
      </c>
      <c r="K16" s="184" t="e">
        <f>(J16*#REF!)</f>
        <v>#REF!</v>
      </c>
      <c r="L16" s="91"/>
      <c r="N16" s="301"/>
      <c r="O16" s="301"/>
      <c r="P16" s="301"/>
      <c r="Q16" s="109"/>
    </row>
    <row r="17" spans="1:17" s="2" customFormat="1" ht="15.75" customHeight="1">
      <c r="A17" s="479"/>
      <c r="B17" s="255" t="s">
        <v>6</v>
      </c>
      <c r="C17" s="256"/>
      <c r="D17" s="256"/>
      <c r="E17" s="256"/>
      <c r="F17" s="256"/>
      <c r="G17" s="257">
        <f>(100%)</f>
        <v>1</v>
      </c>
      <c r="H17" s="258"/>
      <c r="I17" s="176">
        <f>SUM(I16)</f>
        <v>13303.74</v>
      </c>
      <c r="J17" s="185" t="e">
        <f>(K17/#REF!)</f>
        <v>#REF!</v>
      </c>
      <c r="K17" s="186" t="e">
        <f>SUM(K15:K16)</f>
        <v>#REF!</v>
      </c>
      <c r="L17" s="92"/>
      <c r="N17" s="7"/>
    </row>
    <row r="18" spans="1:17" s="139" customFormat="1" ht="15.75" customHeight="1">
      <c r="A18" s="478"/>
      <c r="B18" s="158">
        <v>2</v>
      </c>
      <c r="C18" s="443" t="s">
        <v>4</v>
      </c>
      <c r="D18" s="444"/>
      <c r="E18" s="445"/>
      <c r="F18" s="446"/>
      <c r="G18" s="447"/>
      <c r="H18" s="448"/>
      <c r="I18" s="449"/>
      <c r="J18" s="283" t="s">
        <v>63</v>
      </c>
      <c r="K18" s="283"/>
      <c r="L18" s="138"/>
      <c r="N18" s="282"/>
      <c r="O18" s="282"/>
      <c r="P18" s="282"/>
      <c r="Q18" s="140"/>
    </row>
    <row r="19" spans="1:17" s="142" customFormat="1" ht="14.25">
      <c r="A19" s="479"/>
      <c r="B19" s="157" t="s">
        <v>190</v>
      </c>
      <c r="C19" s="450" t="s">
        <v>46</v>
      </c>
      <c r="D19" s="115" t="s">
        <v>70</v>
      </c>
      <c r="E19" s="451" t="s">
        <v>96</v>
      </c>
      <c r="F19" s="116">
        <v>65.83</v>
      </c>
      <c r="G19" s="117">
        <v>3.53</v>
      </c>
      <c r="H19" s="118">
        <f>TRUNC(G19*$H$15+G19,2)</f>
        <v>4.5</v>
      </c>
      <c r="I19" s="177">
        <f>TRUNC(H19*F19,2)</f>
        <v>296.23</v>
      </c>
      <c r="J19" s="187">
        <v>0</v>
      </c>
      <c r="K19" s="188" t="e">
        <f>(J19*#REF!)</f>
        <v>#REF!</v>
      </c>
      <c r="L19" s="141"/>
      <c r="N19" s="282"/>
      <c r="O19" s="282"/>
      <c r="P19" s="282"/>
      <c r="Q19" s="140"/>
    </row>
    <row r="20" spans="1:17" s="142" customFormat="1" ht="14.25">
      <c r="A20" s="479"/>
      <c r="B20" s="157" t="s">
        <v>191</v>
      </c>
      <c r="C20" s="450" t="s">
        <v>38</v>
      </c>
      <c r="D20" s="115" t="s">
        <v>70</v>
      </c>
      <c r="E20" s="451" t="s">
        <v>97</v>
      </c>
      <c r="F20" s="116">
        <v>3.125</v>
      </c>
      <c r="G20" s="117">
        <v>569.12</v>
      </c>
      <c r="H20" s="118">
        <f>TRUNC(G20*$H$15+G20,2)</f>
        <v>726.36</v>
      </c>
      <c r="I20" s="177">
        <f>TRUNC(H20*F20,2)</f>
        <v>2269.87</v>
      </c>
      <c r="J20" s="187">
        <v>0</v>
      </c>
      <c r="K20" s="188" t="e">
        <f>(J20*#REF!)</f>
        <v>#REF!</v>
      </c>
      <c r="L20" s="141"/>
      <c r="N20" s="282"/>
      <c r="O20" s="282"/>
      <c r="P20" s="282"/>
      <c r="Q20" s="143"/>
    </row>
    <row r="21" spans="1:17" s="142" customFormat="1" ht="28.5" customHeight="1">
      <c r="A21" s="479"/>
      <c r="B21" s="157" t="s">
        <v>192</v>
      </c>
      <c r="C21" s="450" t="s">
        <v>99</v>
      </c>
      <c r="D21" s="115" t="s">
        <v>70</v>
      </c>
      <c r="E21" s="452">
        <v>93584</v>
      </c>
      <c r="F21" s="116">
        <v>4</v>
      </c>
      <c r="G21" s="117">
        <v>469.72</v>
      </c>
      <c r="H21" s="118">
        <f>TRUNC(G21*$H$15+G21,2)</f>
        <v>599.5</v>
      </c>
      <c r="I21" s="177">
        <f>TRUNC(H21*F21,2)</f>
        <v>2398</v>
      </c>
      <c r="J21" s="187">
        <v>1</v>
      </c>
      <c r="K21" s="188" t="e">
        <f>(J21*#REF!)</f>
        <v>#REF!</v>
      </c>
      <c r="L21" s="141"/>
      <c r="N21" s="144"/>
    </row>
    <row r="22" spans="1:17" s="2" customFormat="1" ht="15.75" customHeight="1">
      <c r="A22" s="479"/>
      <c r="B22" s="255" t="s">
        <v>6</v>
      </c>
      <c r="C22" s="256"/>
      <c r="D22" s="256"/>
      <c r="E22" s="256"/>
      <c r="F22" s="256"/>
      <c r="G22" s="257">
        <f>(100%)</f>
        <v>1</v>
      </c>
      <c r="H22" s="258"/>
      <c r="I22" s="176">
        <f>SUM(I19:I21)</f>
        <v>4964.1000000000004</v>
      </c>
      <c r="J22" s="185" t="e">
        <f>(K22/#REF!)</f>
        <v>#REF!</v>
      </c>
      <c r="K22" s="186" t="e">
        <f>SUM(K19:K21)</f>
        <v>#REF!</v>
      </c>
      <c r="L22" s="92"/>
      <c r="N22" s="7"/>
    </row>
    <row r="23" spans="1:17" s="142" customFormat="1" ht="18.75" customHeight="1">
      <c r="A23" s="479"/>
      <c r="B23" s="158">
        <v>3</v>
      </c>
      <c r="C23" s="453" t="s">
        <v>5</v>
      </c>
      <c r="D23" s="454"/>
      <c r="E23" s="454"/>
      <c r="F23" s="454"/>
      <c r="G23" s="454"/>
      <c r="H23" s="454"/>
      <c r="I23" s="455"/>
      <c r="J23" s="141"/>
      <c r="K23" s="141"/>
      <c r="L23" s="145"/>
      <c r="N23" s="144"/>
    </row>
    <row r="24" spans="1:17" s="142" customFormat="1" ht="25.5">
      <c r="A24" s="479"/>
      <c r="B24" s="157" t="s">
        <v>188</v>
      </c>
      <c r="C24" s="114" t="s">
        <v>307</v>
      </c>
      <c r="D24" s="115" t="s">
        <v>75</v>
      </c>
      <c r="E24" s="456">
        <v>93358</v>
      </c>
      <c r="F24" s="116">
        <v>22.23</v>
      </c>
      <c r="G24" s="117">
        <v>55.89</v>
      </c>
      <c r="H24" s="118">
        <f>TRUNC((G24*$H$15)+G24,2)</f>
        <v>71.33</v>
      </c>
      <c r="I24" s="177">
        <f>TRUNC(H24*F24,2)</f>
        <v>1585.66</v>
      </c>
      <c r="J24" s="187">
        <v>0</v>
      </c>
      <c r="K24" s="188" t="e">
        <f>(J24*#REF!)</f>
        <v>#REF!</v>
      </c>
      <c r="L24" s="141"/>
      <c r="N24" s="144"/>
    </row>
    <row r="25" spans="1:17" s="142" customFormat="1" ht="29.25" customHeight="1">
      <c r="A25" s="479"/>
      <c r="B25" s="157" t="s">
        <v>193</v>
      </c>
      <c r="C25" s="114" t="s">
        <v>186</v>
      </c>
      <c r="D25" s="115" t="s">
        <v>75</v>
      </c>
      <c r="E25" s="457">
        <v>96995</v>
      </c>
      <c r="F25" s="116">
        <v>17.98</v>
      </c>
      <c r="G25" s="117">
        <v>33.89</v>
      </c>
      <c r="H25" s="118">
        <f>TRUNC((G25*$H$15)+G25,2)</f>
        <v>43.25</v>
      </c>
      <c r="I25" s="177">
        <f>TRUNC(H25*F25,2)</f>
        <v>777.63</v>
      </c>
      <c r="J25" s="187">
        <v>0</v>
      </c>
      <c r="K25" s="188" t="e">
        <f>(J25*#REF!)</f>
        <v>#REF!</v>
      </c>
      <c r="L25" s="141"/>
      <c r="N25" s="144"/>
    </row>
    <row r="26" spans="1:17" s="142" customFormat="1" ht="30" customHeight="1">
      <c r="A26" s="479"/>
      <c r="B26" s="157" t="s">
        <v>194</v>
      </c>
      <c r="C26" s="114" t="s">
        <v>98</v>
      </c>
      <c r="D26" s="115" t="s">
        <v>70</v>
      </c>
      <c r="E26" s="456">
        <v>94097</v>
      </c>
      <c r="F26" s="116">
        <v>12.35</v>
      </c>
      <c r="G26" s="117">
        <v>4.0999999999999996</v>
      </c>
      <c r="H26" s="118">
        <f>TRUNC((G26*$H$15)+G26,2)</f>
        <v>5.23</v>
      </c>
      <c r="I26" s="177">
        <f>TRUNC(H26*F26,2)</f>
        <v>64.59</v>
      </c>
      <c r="J26" s="187">
        <v>0</v>
      </c>
      <c r="K26" s="188" t="e">
        <f>(J26*#REF!)</f>
        <v>#REF!</v>
      </c>
      <c r="L26" s="141"/>
      <c r="N26" s="144"/>
    </row>
    <row r="27" spans="1:17" s="2" customFormat="1" ht="15.75" customHeight="1">
      <c r="A27" s="479"/>
      <c r="B27" s="255" t="s">
        <v>6</v>
      </c>
      <c r="C27" s="256"/>
      <c r="D27" s="256"/>
      <c r="E27" s="256"/>
      <c r="F27" s="256"/>
      <c r="G27" s="257">
        <f>(100%)</f>
        <v>1</v>
      </c>
      <c r="H27" s="258"/>
      <c r="I27" s="176">
        <f>SUM(I24:I26)</f>
        <v>2427.88</v>
      </c>
      <c r="J27" s="185">
        <v>0</v>
      </c>
      <c r="K27" s="186" t="e">
        <f>SUM(K23:K26)</f>
        <v>#REF!</v>
      </c>
      <c r="L27" s="92"/>
      <c r="N27" s="7"/>
    </row>
    <row r="28" spans="1:17" s="142" customFormat="1" ht="16.5" customHeight="1">
      <c r="A28" s="479"/>
      <c r="B28" s="158">
        <v>4</v>
      </c>
      <c r="C28" s="443" t="s">
        <v>48</v>
      </c>
      <c r="D28" s="458"/>
      <c r="E28" s="458"/>
      <c r="F28" s="458"/>
      <c r="G28" s="458"/>
      <c r="H28" s="458"/>
      <c r="I28" s="459"/>
      <c r="J28" s="141"/>
      <c r="K28" s="141"/>
      <c r="L28" s="146"/>
      <c r="N28" s="144"/>
    </row>
    <row r="29" spans="1:17" s="142" customFormat="1" ht="42" customHeight="1">
      <c r="A29" s="479"/>
      <c r="B29" s="157" t="s">
        <v>195</v>
      </c>
      <c r="C29" s="119" t="s">
        <v>94</v>
      </c>
      <c r="D29" s="115" t="s">
        <v>75</v>
      </c>
      <c r="E29" s="456">
        <v>94962</v>
      </c>
      <c r="F29" s="116">
        <v>0.62</v>
      </c>
      <c r="G29" s="117">
        <v>253.15</v>
      </c>
      <c r="H29" s="118">
        <f>TRUNC((G29*$H$15)+G29,2)</f>
        <v>323.08999999999997</v>
      </c>
      <c r="I29" s="177">
        <f>TRUNC(H29*F29,2)</f>
        <v>200.31</v>
      </c>
      <c r="J29" s="187">
        <v>0</v>
      </c>
      <c r="K29" s="188" t="e">
        <f>(J29*#REF!)</f>
        <v>#REF!</v>
      </c>
      <c r="L29" s="141"/>
      <c r="N29" s="144"/>
    </row>
    <row r="30" spans="1:17" s="142" customFormat="1" ht="30" customHeight="1">
      <c r="A30" s="479"/>
      <c r="B30" s="157" t="s">
        <v>196</v>
      </c>
      <c r="C30" s="114" t="s">
        <v>107</v>
      </c>
      <c r="D30" s="115" t="s">
        <v>75</v>
      </c>
      <c r="E30" s="456">
        <v>94965</v>
      </c>
      <c r="F30" s="116">
        <v>5.62</v>
      </c>
      <c r="G30" s="117">
        <v>319.26</v>
      </c>
      <c r="H30" s="118">
        <f t="shared" ref="H30:H36" si="0">TRUNC((G30*$H$15)+G30,2)</f>
        <v>407.47</v>
      </c>
      <c r="I30" s="177">
        <f t="shared" ref="I30:I36" si="1">TRUNC(H30*F30,2)</f>
        <v>2289.98</v>
      </c>
      <c r="J30" s="187">
        <v>0</v>
      </c>
      <c r="K30" s="188" t="e">
        <f>(J30*#REF!)</f>
        <v>#REF!</v>
      </c>
      <c r="L30" s="141"/>
      <c r="N30" s="144"/>
    </row>
    <row r="31" spans="1:17" s="139" customFormat="1" ht="54.75" customHeight="1">
      <c r="A31" s="478"/>
      <c r="B31" s="157" t="s">
        <v>197</v>
      </c>
      <c r="C31" s="114" t="s">
        <v>93</v>
      </c>
      <c r="D31" s="115" t="s">
        <v>70</v>
      </c>
      <c r="E31" s="456">
        <v>92422</v>
      </c>
      <c r="F31" s="116">
        <v>51.86</v>
      </c>
      <c r="G31" s="117">
        <v>47.55</v>
      </c>
      <c r="H31" s="118">
        <f t="shared" si="0"/>
        <v>60.68</v>
      </c>
      <c r="I31" s="177">
        <f t="shared" si="1"/>
        <v>3146.86</v>
      </c>
      <c r="J31" s="187">
        <v>0</v>
      </c>
      <c r="K31" s="188" t="e">
        <f>(J31*#REF!)</f>
        <v>#REF!</v>
      </c>
      <c r="L31" s="141"/>
      <c r="N31" s="147"/>
    </row>
    <row r="32" spans="1:17" s="139" customFormat="1" ht="44.25" customHeight="1">
      <c r="A32" s="478"/>
      <c r="B32" s="157" t="s">
        <v>198</v>
      </c>
      <c r="C32" s="114" t="s">
        <v>117</v>
      </c>
      <c r="D32" s="115" t="s">
        <v>109</v>
      </c>
      <c r="E32" s="456">
        <v>96543</v>
      </c>
      <c r="F32" s="116">
        <v>44</v>
      </c>
      <c r="G32" s="117">
        <v>10.65</v>
      </c>
      <c r="H32" s="118">
        <f t="shared" si="0"/>
        <v>13.59</v>
      </c>
      <c r="I32" s="177">
        <f t="shared" si="1"/>
        <v>597.96</v>
      </c>
      <c r="J32" s="187">
        <v>0</v>
      </c>
      <c r="K32" s="188" t="e">
        <f>(J32*#REF!)</f>
        <v>#REF!</v>
      </c>
      <c r="L32" s="141"/>
      <c r="N32" s="147"/>
    </row>
    <row r="33" spans="1:14" s="139" customFormat="1" ht="48" customHeight="1">
      <c r="A33" s="478"/>
      <c r="B33" s="157" t="s">
        <v>199</v>
      </c>
      <c r="C33" s="114" t="s">
        <v>112</v>
      </c>
      <c r="D33" s="115" t="s">
        <v>109</v>
      </c>
      <c r="E33" s="456">
        <v>92776</v>
      </c>
      <c r="F33" s="116">
        <v>12</v>
      </c>
      <c r="G33" s="117">
        <v>9.23</v>
      </c>
      <c r="H33" s="118">
        <f t="shared" si="0"/>
        <v>11.78</v>
      </c>
      <c r="I33" s="177">
        <f t="shared" si="1"/>
        <v>141.36000000000001</v>
      </c>
      <c r="J33" s="187">
        <v>0</v>
      </c>
      <c r="K33" s="188" t="e">
        <f>(J33*#REF!)</f>
        <v>#REF!</v>
      </c>
      <c r="L33" s="141"/>
      <c r="N33" s="147"/>
    </row>
    <row r="34" spans="1:14" s="139" customFormat="1" ht="44.25" customHeight="1">
      <c r="A34" s="478"/>
      <c r="B34" s="157" t="s">
        <v>200</v>
      </c>
      <c r="C34" s="114" t="s">
        <v>119</v>
      </c>
      <c r="D34" s="115" t="s">
        <v>109</v>
      </c>
      <c r="E34" s="456">
        <v>96545</v>
      </c>
      <c r="F34" s="116">
        <v>35</v>
      </c>
      <c r="G34" s="117">
        <v>8.7899999999999991</v>
      </c>
      <c r="H34" s="118">
        <f t="shared" si="0"/>
        <v>11.21</v>
      </c>
      <c r="I34" s="177">
        <f t="shared" si="1"/>
        <v>392.35</v>
      </c>
      <c r="J34" s="187">
        <v>0</v>
      </c>
      <c r="K34" s="188" t="e">
        <f>(J34*#REF!)</f>
        <v>#REF!</v>
      </c>
      <c r="L34" s="141"/>
      <c r="N34" s="147"/>
    </row>
    <row r="35" spans="1:14" s="139" customFormat="1" ht="44.25" customHeight="1">
      <c r="A35" s="478"/>
      <c r="B35" s="157" t="s">
        <v>201</v>
      </c>
      <c r="C35" s="114" t="s">
        <v>116</v>
      </c>
      <c r="D35" s="115" t="s">
        <v>109</v>
      </c>
      <c r="E35" s="456">
        <v>96546</v>
      </c>
      <c r="F35" s="116">
        <v>245</v>
      </c>
      <c r="G35" s="117">
        <v>7.15</v>
      </c>
      <c r="H35" s="118">
        <f t="shared" si="0"/>
        <v>9.1199999999999992</v>
      </c>
      <c r="I35" s="177">
        <f t="shared" si="1"/>
        <v>2234.4</v>
      </c>
      <c r="J35" s="187">
        <v>0</v>
      </c>
      <c r="K35" s="188" t="e">
        <f>(J35*#REF!)</f>
        <v>#REF!</v>
      </c>
      <c r="L35" s="141"/>
      <c r="N35" s="147"/>
    </row>
    <row r="36" spans="1:14" s="139" customFormat="1" ht="44.25" customHeight="1">
      <c r="A36" s="478"/>
      <c r="B36" s="157" t="s">
        <v>202</v>
      </c>
      <c r="C36" s="114" t="s">
        <v>118</v>
      </c>
      <c r="D36" s="115" t="s">
        <v>109</v>
      </c>
      <c r="E36" s="456">
        <v>96547</v>
      </c>
      <c r="F36" s="116">
        <v>47</v>
      </c>
      <c r="G36" s="117">
        <v>6.34</v>
      </c>
      <c r="H36" s="118">
        <f t="shared" si="0"/>
        <v>8.09</v>
      </c>
      <c r="I36" s="177">
        <f t="shared" si="1"/>
        <v>380.23</v>
      </c>
      <c r="J36" s="187">
        <v>0</v>
      </c>
      <c r="K36" s="188" t="e">
        <f>(J36*#REF!)</f>
        <v>#REF!</v>
      </c>
      <c r="L36" s="141"/>
      <c r="N36" s="147"/>
    </row>
    <row r="37" spans="1:14" s="1" customFormat="1" ht="12.75" customHeight="1">
      <c r="A37" s="478"/>
      <c r="B37" s="255" t="s">
        <v>6</v>
      </c>
      <c r="C37" s="256"/>
      <c r="D37" s="256"/>
      <c r="E37" s="256"/>
      <c r="F37" s="256"/>
      <c r="G37" s="257">
        <f>(100%)</f>
        <v>1</v>
      </c>
      <c r="H37" s="258"/>
      <c r="I37" s="176">
        <f>SUM(I29:I36)</f>
        <v>9383.4499999999989</v>
      </c>
      <c r="J37" s="185" t="e">
        <f>(K37/#REF!)</f>
        <v>#REF!</v>
      </c>
      <c r="K37" s="186" t="e">
        <f>SUM(K30:K36)</f>
        <v>#REF!</v>
      </c>
      <c r="L37" s="92"/>
      <c r="N37" s="6"/>
    </row>
    <row r="38" spans="1:14" s="142" customFormat="1" ht="17.25" customHeight="1">
      <c r="A38" s="479"/>
      <c r="B38" s="158">
        <v>5</v>
      </c>
      <c r="C38" s="443" t="s">
        <v>47</v>
      </c>
      <c r="D38" s="458"/>
      <c r="E38" s="458"/>
      <c r="F38" s="458"/>
      <c r="G38" s="458"/>
      <c r="H38" s="458"/>
      <c r="I38" s="459"/>
      <c r="J38" s="141"/>
      <c r="K38" s="141"/>
      <c r="L38" s="146"/>
      <c r="N38" s="144"/>
    </row>
    <row r="39" spans="1:14" s="139" customFormat="1" ht="33.75" customHeight="1">
      <c r="A39" s="478"/>
      <c r="B39" s="157" t="s">
        <v>203</v>
      </c>
      <c r="C39" s="114" t="s">
        <v>95</v>
      </c>
      <c r="D39" s="115" t="s">
        <v>75</v>
      </c>
      <c r="E39" s="456">
        <v>94965</v>
      </c>
      <c r="F39" s="116">
        <v>5.03</v>
      </c>
      <c r="G39" s="117">
        <v>319.26</v>
      </c>
      <c r="H39" s="118">
        <f>TRUNC((G39*$H$15)+G39,2)</f>
        <v>407.47</v>
      </c>
      <c r="I39" s="177">
        <f>TRUNC(H39*F39,2)</f>
        <v>2049.5700000000002</v>
      </c>
      <c r="J39" s="187">
        <v>0</v>
      </c>
      <c r="K39" s="188" t="e">
        <f>(J39*#REF!)</f>
        <v>#REF!</v>
      </c>
      <c r="L39" s="141"/>
      <c r="N39" s="147"/>
    </row>
    <row r="40" spans="1:14" s="139" customFormat="1" ht="54.75" customHeight="1">
      <c r="A40" s="478"/>
      <c r="B40" s="157" t="s">
        <v>204</v>
      </c>
      <c r="C40" s="114" t="s">
        <v>93</v>
      </c>
      <c r="D40" s="115" t="s">
        <v>70</v>
      </c>
      <c r="E40" s="456">
        <v>92422</v>
      </c>
      <c r="F40" s="116">
        <v>76.349999999999994</v>
      </c>
      <c r="G40" s="117">
        <v>47.55</v>
      </c>
      <c r="H40" s="118">
        <f t="shared" ref="H40:H51" si="2">TRUNC((G40*$H$15)+G40,2)</f>
        <v>60.68</v>
      </c>
      <c r="I40" s="177">
        <f t="shared" ref="I40:I45" si="3">TRUNC(H40*F40,2)</f>
        <v>4632.91</v>
      </c>
      <c r="J40" s="187">
        <v>0</v>
      </c>
      <c r="K40" s="188" t="e">
        <f>(J40*#REF!)</f>
        <v>#REF!</v>
      </c>
      <c r="L40" s="141"/>
      <c r="N40" s="147"/>
    </row>
    <row r="41" spans="1:14" s="139" customFormat="1" ht="47.25" customHeight="1">
      <c r="A41" s="478"/>
      <c r="B41" s="157" t="s">
        <v>205</v>
      </c>
      <c r="C41" s="114" t="s">
        <v>111</v>
      </c>
      <c r="D41" s="115" t="s">
        <v>109</v>
      </c>
      <c r="E41" s="456">
        <v>92775</v>
      </c>
      <c r="F41" s="116">
        <v>93</v>
      </c>
      <c r="G41" s="117">
        <v>10.72</v>
      </c>
      <c r="H41" s="118">
        <f t="shared" si="2"/>
        <v>13.68</v>
      </c>
      <c r="I41" s="177">
        <f t="shared" si="3"/>
        <v>1272.24</v>
      </c>
      <c r="J41" s="187">
        <v>0</v>
      </c>
      <c r="K41" s="188" t="e">
        <f>(J41*#REF!)</f>
        <v>#REF!</v>
      </c>
      <c r="L41" s="141"/>
      <c r="N41" s="147"/>
    </row>
    <row r="42" spans="1:14" s="139" customFormat="1" ht="48" customHeight="1">
      <c r="A42" s="478"/>
      <c r="B42" s="157" t="s">
        <v>206</v>
      </c>
      <c r="C42" s="114" t="s">
        <v>112</v>
      </c>
      <c r="D42" s="115" t="s">
        <v>109</v>
      </c>
      <c r="E42" s="456">
        <v>92776</v>
      </c>
      <c r="F42" s="116">
        <v>12</v>
      </c>
      <c r="G42" s="117">
        <v>9.23</v>
      </c>
      <c r="H42" s="118">
        <f t="shared" si="2"/>
        <v>11.78</v>
      </c>
      <c r="I42" s="177">
        <f t="shared" si="3"/>
        <v>141.36000000000001</v>
      </c>
      <c r="J42" s="187">
        <v>0</v>
      </c>
      <c r="K42" s="188" t="e">
        <f>(J42*#REF!)</f>
        <v>#REF!</v>
      </c>
      <c r="L42" s="141"/>
      <c r="N42" s="147"/>
    </row>
    <row r="43" spans="1:14" s="139" customFormat="1" ht="48" customHeight="1">
      <c r="A43" s="478"/>
      <c r="B43" s="157" t="s">
        <v>207</v>
      </c>
      <c r="C43" s="114" t="s">
        <v>113</v>
      </c>
      <c r="D43" s="115" t="s">
        <v>109</v>
      </c>
      <c r="E43" s="456">
        <v>92777</v>
      </c>
      <c r="F43" s="116">
        <v>77</v>
      </c>
      <c r="G43" s="117">
        <v>8.7799999999999994</v>
      </c>
      <c r="H43" s="118">
        <f t="shared" si="2"/>
        <v>11.2</v>
      </c>
      <c r="I43" s="177">
        <f t="shared" si="3"/>
        <v>862.4</v>
      </c>
      <c r="J43" s="187">
        <v>0</v>
      </c>
      <c r="K43" s="188" t="e">
        <f>(J43*#REF!)</f>
        <v>#REF!</v>
      </c>
      <c r="L43" s="141"/>
      <c r="N43" s="147"/>
    </row>
    <row r="44" spans="1:14" s="139" customFormat="1" ht="44.25" customHeight="1">
      <c r="A44" s="478"/>
      <c r="B44" s="157" t="s">
        <v>208</v>
      </c>
      <c r="C44" s="114" t="s">
        <v>114</v>
      </c>
      <c r="D44" s="115" t="s">
        <v>109</v>
      </c>
      <c r="E44" s="456">
        <v>92778</v>
      </c>
      <c r="F44" s="116">
        <v>187</v>
      </c>
      <c r="G44" s="117">
        <v>7.09</v>
      </c>
      <c r="H44" s="118">
        <f t="shared" si="2"/>
        <v>9.0399999999999991</v>
      </c>
      <c r="I44" s="177">
        <f t="shared" si="3"/>
        <v>1690.48</v>
      </c>
      <c r="J44" s="187">
        <v>0</v>
      </c>
      <c r="K44" s="188" t="e">
        <f>(J44*#REF!)</f>
        <v>#REF!</v>
      </c>
      <c r="L44" s="141"/>
      <c r="N44" s="147"/>
    </row>
    <row r="45" spans="1:14" s="139" customFormat="1" ht="44.25" customHeight="1">
      <c r="A45" s="478"/>
      <c r="B45" s="157" t="s">
        <v>209</v>
      </c>
      <c r="C45" s="114" t="s">
        <v>115</v>
      </c>
      <c r="D45" s="115" t="s">
        <v>109</v>
      </c>
      <c r="E45" s="456">
        <v>92779</v>
      </c>
      <c r="F45" s="116">
        <v>67</v>
      </c>
      <c r="G45" s="117">
        <v>6.24</v>
      </c>
      <c r="H45" s="118">
        <f t="shared" si="2"/>
        <v>7.96</v>
      </c>
      <c r="I45" s="177">
        <f t="shared" si="3"/>
        <v>533.32000000000005</v>
      </c>
      <c r="J45" s="187">
        <v>0</v>
      </c>
      <c r="K45" s="188" t="e">
        <f>(J45*#REF!)</f>
        <v>#REF!</v>
      </c>
      <c r="L45" s="141"/>
      <c r="N45" s="147"/>
    </row>
    <row r="46" spans="1:14" s="1" customFormat="1" ht="15" customHeight="1">
      <c r="A46" s="478"/>
      <c r="B46" s="248" t="s">
        <v>49</v>
      </c>
      <c r="C46" s="249"/>
      <c r="D46" s="120"/>
      <c r="E46" s="121"/>
      <c r="F46" s="122"/>
      <c r="G46" s="123"/>
      <c r="H46" s="124"/>
      <c r="I46" s="175"/>
      <c r="J46" s="183">
        <v>0</v>
      </c>
      <c r="K46" s="184" t="e">
        <f>(J46*#REF!)</f>
        <v>#REF!</v>
      </c>
      <c r="L46" s="91"/>
      <c r="N46" s="6"/>
    </row>
    <row r="47" spans="1:14" s="139" customFormat="1" ht="33.75" customHeight="1">
      <c r="A47" s="478"/>
      <c r="B47" s="157" t="s">
        <v>210</v>
      </c>
      <c r="C47" s="114" t="s">
        <v>95</v>
      </c>
      <c r="D47" s="115" t="s">
        <v>75</v>
      </c>
      <c r="E47" s="456">
        <v>94965</v>
      </c>
      <c r="F47" s="116">
        <v>2.62</v>
      </c>
      <c r="G47" s="117">
        <v>319.26</v>
      </c>
      <c r="H47" s="118">
        <f t="shared" si="2"/>
        <v>407.47</v>
      </c>
      <c r="I47" s="177">
        <f>TRUNC(H47*F47,2)</f>
        <v>1067.57</v>
      </c>
      <c r="J47" s="187">
        <v>0</v>
      </c>
      <c r="K47" s="188" t="e">
        <f>(J47*#REF!)</f>
        <v>#REF!</v>
      </c>
      <c r="L47" s="141"/>
      <c r="N47" s="147"/>
    </row>
    <row r="48" spans="1:14" s="139" customFormat="1" ht="44.25" customHeight="1">
      <c r="A48" s="478"/>
      <c r="B48" s="157" t="s">
        <v>211</v>
      </c>
      <c r="C48" s="114" t="s">
        <v>108</v>
      </c>
      <c r="D48" s="115" t="s">
        <v>109</v>
      </c>
      <c r="E48" s="456">
        <v>92785</v>
      </c>
      <c r="F48" s="116">
        <v>366</v>
      </c>
      <c r="G48" s="117">
        <v>8</v>
      </c>
      <c r="H48" s="118">
        <f t="shared" si="2"/>
        <v>10.210000000000001</v>
      </c>
      <c r="I48" s="177">
        <f>TRUNC(H48*F48,2)</f>
        <v>3736.86</v>
      </c>
      <c r="J48" s="187">
        <v>0</v>
      </c>
      <c r="K48" s="188" t="e">
        <f>(J48*#REF!)</f>
        <v>#REF!</v>
      </c>
      <c r="L48" s="141"/>
      <c r="N48" s="147"/>
    </row>
    <row r="49" spans="1:14" s="139" customFormat="1" ht="44.25" customHeight="1">
      <c r="A49" s="478"/>
      <c r="B49" s="157" t="s">
        <v>212</v>
      </c>
      <c r="C49" s="114" t="s">
        <v>110</v>
      </c>
      <c r="D49" s="115" t="s">
        <v>109</v>
      </c>
      <c r="E49" s="456">
        <v>92786</v>
      </c>
      <c r="F49" s="116">
        <v>35</v>
      </c>
      <c r="G49" s="117">
        <v>7.84</v>
      </c>
      <c r="H49" s="118">
        <f t="shared" si="2"/>
        <v>10</v>
      </c>
      <c r="I49" s="177">
        <f>TRUNC(H49*F49,2)</f>
        <v>350</v>
      </c>
      <c r="J49" s="187">
        <v>0</v>
      </c>
      <c r="K49" s="188" t="e">
        <f>(J49*#REF!)</f>
        <v>#REF!</v>
      </c>
      <c r="L49" s="141"/>
      <c r="N49" s="147"/>
    </row>
    <row r="50" spans="1:14" s="139" customFormat="1" ht="31.5" customHeight="1">
      <c r="A50" s="478"/>
      <c r="B50" s="157" t="s">
        <v>213</v>
      </c>
      <c r="C50" s="119" t="s">
        <v>100</v>
      </c>
      <c r="D50" s="115" t="s">
        <v>75</v>
      </c>
      <c r="E50" s="456">
        <v>92267</v>
      </c>
      <c r="F50" s="125">
        <v>21.81</v>
      </c>
      <c r="G50" s="117">
        <v>27.16</v>
      </c>
      <c r="H50" s="118">
        <f t="shared" si="2"/>
        <v>34.659999999999997</v>
      </c>
      <c r="I50" s="177">
        <f>TRUNC(H50*F50,2)</f>
        <v>755.93</v>
      </c>
      <c r="J50" s="187">
        <v>0</v>
      </c>
      <c r="K50" s="188" t="e">
        <f>(J50*#REF!)</f>
        <v>#REF!</v>
      </c>
      <c r="L50" s="141"/>
      <c r="N50" s="147"/>
    </row>
    <row r="51" spans="1:14" s="1" customFormat="1" ht="42" customHeight="1">
      <c r="A51" s="478"/>
      <c r="B51" s="157" t="s">
        <v>301</v>
      </c>
      <c r="C51" s="119" t="s">
        <v>78</v>
      </c>
      <c r="D51" s="115" t="s">
        <v>70</v>
      </c>
      <c r="E51" s="135" t="s">
        <v>160</v>
      </c>
      <c r="F51" s="125">
        <v>65.84</v>
      </c>
      <c r="G51" s="117">
        <f>COMPOSIÇÕES!G29</f>
        <v>101.62</v>
      </c>
      <c r="H51" s="118">
        <f t="shared" si="2"/>
        <v>129.69</v>
      </c>
      <c r="I51" s="177">
        <f>TRUNC(H51*F51,2)</f>
        <v>8538.7800000000007</v>
      </c>
      <c r="J51" s="183">
        <v>0</v>
      </c>
      <c r="K51" s="184" t="e">
        <f>(J51*#REF!)</f>
        <v>#REF!</v>
      </c>
      <c r="L51" s="91"/>
      <c r="N51" s="6"/>
    </row>
    <row r="52" spans="1:14" s="1" customFormat="1" ht="12.75" customHeight="1">
      <c r="A52" s="478"/>
      <c r="B52" s="255" t="s">
        <v>6</v>
      </c>
      <c r="C52" s="256"/>
      <c r="D52" s="256"/>
      <c r="E52" s="256"/>
      <c r="F52" s="256"/>
      <c r="G52" s="257">
        <f>(100%)</f>
        <v>1</v>
      </c>
      <c r="H52" s="258"/>
      <c r="I52" s="176">
        <f>SUM(I39:I51)</f>
        <v>25631.42</v>
      </c>
      <c r="J52" s="185" t="e">
        <f>(K52/#REF!)</f>
        <v>#REF!</v>
      </c>
      <c r="K52" s="186" t="e">
        <f>SUM(K39:K51)</f>
        <v>#REF!</v>
      </c>
      <c r="L52" s="92"/>
      <c r="N52" s="6"/>
    </row>
    <row r="53" spans="1:14" s="1" customFormat="1">
      <c r="A53" s="478"/>
      <c r="B53" s="158">
        <v>6</v>
      </c>
      <c r="C53" s="126" t="s">
        <v>50</v>
      </c>
      <c r="D53" s="306"/>
      <c r="E53" s="306"/>
      <c r="F53" s="306"/>
      <c r="G53" s="306"/>
      <c r="H53" s="306"/>
      <c r="I53" s="307"/>
      <c r="J53" s="98"/>
      <c r="K53" s="98"/>
      <c r="L53" s="93"/>
      <c r="N53" s="6"/>
    </row>
    <row r="54" spans="1:14" s="142" customFormat="1" ht="30" customHeight="1">
      <c r="A54" s="479"/>
      <c r="B54" s="157" t="s">
        <v>214</v>
      </c>
      <c r="C54" s="119" t="s">
        <v>187</v>
      </c>
      <c r="D54" s="115" t="s">
        <v>70</v>
      </c>
      <c r="E54" s="460" t="s">
        <v>79</v>
      </c>
      <c r="F54" s="447">
        <v>26.72</v>
      </c>
      <c r="G54" s="117">
        <v>9.61</v>
      </c>
      <c r="H54" s="118">
        <f>TRUNC((G54*$H$15)+G54,2)</f>
        <v>12.26</v>
      </c>
      <c r="I54" s="177">
        <f>TRUNC(H54*F54,2)</f>
        <v>327.58</v>
      </c>
      <c r="J54" s="187">
        <v>0</v>
      </c>
      <c r="K54" s="188" t="e">
        <f>(J54*#REF!)</f>
        <v>#REF!</v>
      </c>
      <c r="L54" s="141"/>
      <c r="N54" s="144"/>
    </row>
    <row r="55" spans="1:14" s="1" customFormat="1" ht="12.75" customHeight="1">
      <c r="A55" s="478"/>
      <c r="B55" s="255" t="s">
        <v>6</v>
      </c>
      <c r="C55" s="256"/>
      <c r="D55" s="256"/>
      <c r="E55" s="256"/>
      <c r="F55" s="256"/>
      <c r="G55" s="257">
        <f>(100%)</f>
        <v>1</v>
      </c>
      <c r="H55" s="258"/>
      <c r="I55" s="176">
        <f>SUM(I54:I54)</f>
        <v>327.58</v>
      </c>
      <c r="J55" s="185">
        <v>0</v>
      </c>
      <c r="K55" s="186" t="e">
        <f>SUM(K54)</f>
        <v>#REF!</v>
      </c>
      <c r="L55" s="92"/>
      <c r="N55" s="6"/>
    </row>
    <row r="56" spans="1:14" s="149" customFormat="1" ht="19.5" customHeight="1">
      <c r="A56" s="12"/>
      <c r="B56" s="158">
        <v>7</v>
      </c>
      <c r="C56" s="443" t="s">
        <v>51</v>
      </c>
      <c r="D56" s="461"/>
      <c r="E56" s="461"/>
      <c r="F56" s="461"/>
      <c r="G56" s="461"/>
      <c r="H56" s="461"/>
      <c r="I56" s="462"/>
      <c r="J56" s="141"/>
      <c r="K56" s="141"/>
      <c r="L56" s="148"/>
      <c r="N56" s="150"/>
    </row>
    <row r="57" spans="1:14" s="149" customFormat="1" ht="57.75" customHeight="1">
      <c r="A57" s="12"/>
      <c r="B57" s="157" t="s">
        <v>215</v>
      </c>
      <c r="C57" s="119" t="s">
        <v>105</v>
      </c>
      <c r="D57" s="115" t="s">
        <v>70</v>
      </c>
      <c r="E57" s="456">
        <v>87521</v>
      </c>
      <c r="F57" s="116">
        <v>114.26</v>
      </c>
      <c r="G57" s="117">
        <v>55.21</v>
      </c>
      <c r="H57" s="118">
        <f>TRUNC(G57*$H$15+G57,2)</f>
        <v>70.459999999999994</v>
      </c>
      <c r="I57" s="177">
        <f>TRUNC(H57*F57,2)</f>
        <v>8050.75</v>
      </c>
      <c r="J57" s="187">
        <v>0</v>
      </c>
      <c r="K57" s="188" t="e">
        <f>(J57*#REF!)</f>
        <v>#REF!</v>
      </c>
      <c r="L57" s="141"/>
      <c r="N57" s="150"/>
    </row>
    <row r="58" spans="1:14" s="149" customFormat="1" ht="57" customHeight="1">
      <c r="A58" s="12"/>
      <c r="B58" s="157" t="s">
        <v>216</v>
      </c>
      <c r="C58" s="119" t="s">
        <v>106</v>
      </c>
      <c r="D58" s="115" t="s">
        <v>70</v>
      </c>
      <c r="E58" s="456">
        <v>87493</v>
      </c>
      <c r="F58" s="116">
        <v>11.2455</v>
      </c>
      <c r="G58" s="117">
        <v>58.45</v>
      </c>
      <c r="H58" s="118">
        <f>TRUNC(G58*$H$15+G58,2)</f>
        <v>74.59</v>
      </c>
      <c r="I58" s="177">
        <f>TRUNC(H58*F58,2)</f>
        <v>838.8</v>
      </c>
      <c r="J58" s="187">
        <v>0</v>
      </c>
      <c r="K58" s="188" t="e">
        <f>(J58*#REF!)</f>
        <v>#REF!</v>
      </c>
      <c r="L58" s="141"/>
      <c r="N58" s="150"/>
    </row>
    <row r="59" spans="1:14" s="149" customFormat="1" ht="31.5" customHeight="1">
      <c r="A59" s="12"/>
      <c r="B59" s="157" t="s">
        <v>217</v>
      </c>
      <c r="C59" s="114" t="s">
        <v>86</v>
      </c>
      <c r="D59" s="115" t="s">
        <v>69</v>
      </c>
      <c r="E59" s="456">
        <v>93183</v>
      </c>
      <c r="F59" s="116">
        <v>19.2</v>
      </c>
      <c r="G59" s="117">
        <v>24.13</v>
      </c>
      <c r="H59" s="118">
        <f>TRUNC(G59*$H$15+G59,2)</f>
        <v>30.79</v>
      </c>
      <c r="I59" s="177">
        <f>TRUNC(H59*F59,2)</f>
        <v>591.16</v>
      </c>
      <c r="J59" s="187">
        <v>0</v>
      </c>
      <c r="K59" s="188" t="e">
        <f>(J59*#REF!)</f>
        <v>#REF!</v>
      </c>
      <c r="L59" s="141"/>
      <c r="N59" s="150"/>
    </row>
    <row r="60" spans="1:14" s="149" customFormat="1" ht="32.25" customHeight="1">
      <c r="A60" s="12"/>
      <c r="B60" s="157" t="s">
        <v>218</v>
      </c>
      <c r="C60" s="114" t="s">
        <v>87</v>
      </c>
      <c r="D60" s="115" t="s">
        <v>69</v>
      </c>
      <c r="E60" s="456">
        <v>93184</v>
      </c>
      <c r="F60" s="116">
        <v>2.2000000000000002</v>
      </c>
      <c r="G60" s="117">
        <v>14.63</v>
      </c>
      <c r="H60" s="118">
        <f>TRUNC(G60*$H$15+G60,2)</f>
        <v>18.670000000000002</v>
      </c>
      <c r="I60" s="177">
        <f>TRUNC(H60*F60,2)</f>
        <v>41.07</v>
      </c>
      <c r="J60" s="187">
        <v>0</v>
      </c>
      <c r="K60" s="188" t="e">
        <f>(J60*#REF!)</f>
        <v>#REF!</v>
      </c>
      <c r="L60" s="141"/>
      <c r="N60" s="150"/>
    </row>
    <row r="61" spans="1:14" s="1" customFormat="1" ht="15" customHeight="1">
      <c r="A61" s="478"/>
      <c r="B61" s="255" t="s">
        <v>6</v>
      </c>
      <c r="C61" s="256"/>
      <c r="D61" s="256"/>
      <c r="E61" s="256"/>
      <c r="F61" s="256"/>
      <c r="G61" s="257">
        <f>(100%)</f>
        <v>1</v>
      </c>
      <c r="H61" s="258"/>
      <c r="I61" s="176">
        <f>SUM(I57:I60)</f>
        <v>9521.7799999999988</v>
      </c>
      <c r="J61" s="185" t="e">
        <f>(K61/#REF!)</f>
        <v>#REF!</v>
      </c>
      <c r="K61" s="186" t="e">
        <f>SUM(K58:K59)</f>
        <v>#REF!</v>
      </c>
      <c r="L61" s="92"/>
      <c r="N61" s="6"/>
    </row>
    <row r="62" spans="1:14" s="149" customFormat="1" ht="19.5" customHeight="1">
      <c r="A62" s="12"/>
      <c r="B62" s="158">
        <v>8</v>
      </c>
      <c r="C62" s="443" t="s">
        <v>52</v>
      </c>
      <c r="D62" s="461"/>
      <c r="E62" s="461"/>
      <c r="F62" s="461"/>
      <c r="G62" s="461"/>
      <c r="H62" s="461"/>
      <c r="I62" s="462"/>
      <c r="J62" s="141"/>
      <c r="K62" s="141"/>
      <c r="L62" s="148"/>
      <c r="N62" s="150"/>
    </row>
    <row r="63" spans="1:14" s="149" customFormat="1" ht="42.75" customHeight="1">
      <c r="A63" s="12"/>
      <c r="B63" s="157" t="s">
        <v>219</v>
      </c>
      <c r="C63" s="119" t="s">
        <v>80</v>
      </c>
      <c r="D63" s="115" t="s">
        <v>70</v>
      </c>
      <c r="E63" s="456">
        <v>87879</v>
      </c>
      <c r="F63" s="116">
        <v>120.72</v>
      </c>
      <c r="G63" s="117">
        <v>2.63</v>
      </c>
      <c r="H63" s="118">
        <f t="shared" ref="H63:H68" si="4">TRUNC(G63*$H$15+G63,2)</f>
        <v>3.35</v>
      </c>
      <c r="I63" s="177">
        <f t="shared" ref="I63:I68" si="5">TRUNC(H63*F63,2)</f>
        <v>404.41</v>
      </c>
      <c r="J63" s="187">
        <v>0</v>
      </c>
      <c r="K63" s="188" t="e">
        <f>(J63*#REF!)</f>
        <v>#REF!</v>
      </c>
      <c r="L63" s="141"/>
      <c r="N63" s="150"/>
    </row>
    <row r="64" spans="1:14" s="149" customFormat="1" ht="42.75" customHeight="1">
      <c r="A64" s="12"/>
      <c r="B64" s="157" t="s">
        <v>220</v>
      </c>
      <c r="C64" s="119" t="s">
        <v>81</v>
      </c>
      <c r="D64" s="115" t="s">
        <v>70</v>
      </c>
      <c r="E64" s="456">
        <v>87905</v>
      </c>
      <c r="F64" s="116">
        <v>103.75</v>
      </c>
      <c r="G64" s="117">
        <v>5.79</v>
      </c>
      <c r="H64" s="118">
        <f t="shared" si="4"/>
        <v>7.38</v>
      </c>
      <c r="I64" s="177">
        <f t="shared" si="5"/>
        <v>765.67</v>
      </c>
      <c r="J64" s="187">
        <v>0</v>
      </c>
      <c r="K64" s="188" t="e">
        <f>(J64*#REF!)</f>
        <v>#REF!</v>
      </c>
      <c r="L64" s="141"/>
      <c r="N64" s="150"/>
    </row>
    <row r="65" spans="1:14" s="149" customFormat="1" ht="42" customHeight="1">
      <c r="A65" s="12"/>
      <c r="B65" s="157" t="s">
        <v>221</v>
      </c>
      <c r="C65" s="119" t="s">
        <v>82</v>
      </c>
      <c r="D65" s="115" t="s">
        <v>70</v>
      </c>
      <c r="E65" s="456">
        <v>87882</v>
      </c>
      <c r="F65" s="116">
        <v>83.49</v>
      </c>
      <c r="G65" s="117">
        <v>4.59</v>
      </c>
      <c r="H65" s="118">
        <f t="shared" si="4"/>
        <v>5.85</v>
      </c>
      <c r="I65" s="177">
        <f t="shared" si="5"/>
        <v>488.41</v>
      </c>
      <c r="J65" s="187">
        <v>0</v>
      </c>
      <c r="K65" s="188" t="e">
        <f>(J65*#REF!)</f>
        <v>#REF!</v>
      </c>
      <c r="L65" s="141"/>
      <c r="N65" s="150"/>
    </row>
    <row r="66" spans="1:14" s="149" customFormat="1" ht="57.75" customHeight="1">
      <c r="A66" s="12"/>
      <c r="B66" s="157" t="s">
        <v>222</v>
      </c>
      <c r="C66" s="114" t="s">
        <v>83</v>
      </c>
      <c r="D66" s="115" t="s">
        <v>70</v>
      </c>
      <c r="E66" s="456">
        <v>87529</v>
      </c>
      <c r="F66" s="116">
        <v>120.72</v>
      </c>
      <c r="G66" s="117">
        <v>23.65</v>
      </c>
      <c r="H66" s="118">
        <f t="shared" si="4"/>
        <v>30.18</v>
      </c>
      <c r="I66" s="177">
        <f t="shared" si="5"/>
        <v>3643.32</v>
      </c>
      <c r="J66" s="187">
        <v>0</v>
      </c>
      <c r="K66" s="188" t="e">
        <f>(J66*#REF!)</f>
        <v>#REF!</v>
      </c>
      <c r="L66" s="141"/>
      <c r="N66" s="150"/>
    </row>
    <row r="67" spans="1:14" s="149" customFormat="1" ht="51">
      <c r="A67" s="12"/>
      <c r="B67" s="157" t="s">
        <v>223</v>
      </c>
      <c r="C67" s="114" t="s">
        <v>84</v>
      </c>
      <c r="D67" s="115" t="s">
        <v>70</v>
      </c>
      <c r="E67" s="456">
        <v>87775</v>
      </c>
      <c r="F67" s="116">
        <v>103.75</v>
      </c>
      <c r="G67" s="117">
        <v>36.78</v>
      </c>
      <c r="H67" s="118">
        <f t="shared" si="4"/>
        <v>46.94</v>
      </c>
      <c r="I67" s="177">
        <f t="shared" si="5"/>
        <v>4870.0200000000004</v>
      </c>
      <c r="J67" s="187">
        <v>0</v>
      </c>
      <c r="K67" s="188" t="e">
        <f>(J67*#REF!)</f>
        <v>#REF!</v>
      </c>
      <c r="L67" s="141"/>
      <c r="N67" s="150"/>
    </row>
    <row r="68" spans="1:14" s="149" customFormat="1" ht="51">
      <c r="A68" s="12"/>
      <c r="B68" s="157" t="s">
        <v>224</v>
      </c>
      <c r="C68" s="114" t="s">
        <v>85</v>
      </c>
      <c r="D68" s="115" t="s">
        <v>70</v>
      </c>
      <c r="E68" s="456">
        <v>87267</v>
      </c>
      <c r="F68" s="116">
        <v>49.04</v>
      </c>
      <c r="G68" s="117">
        <v>51.72</v>
      </c>
      <c r="H68" s="118">
        <f t="shared" si="4"/>
        <v>66.010000000000005</v>
      </c>
      <c r="I68" s="177">
        <f t="shared" si="5"/>
        <v>3237.13</v>
      </c>
      <c r="J68" s="187">
        <v>0</v>
      </c>
      <c r="K68" s="188" t="e">
        <f>(J68*#REF!)</f>
        <v>#REF!</v>
      </c>
      <c r="L68" s="141"/>
      <c r="N68" s="150"/>
    </row>
    <row r="69" spans="1:14" s="1" customFormat="1" ht="12.75" customHeight="1">
      <c r="A69" s="478"/>
      <c r="B69" s="255" t="s">
        <v>6</v>
      </c>
      <c r="C69" s="256"/>
      <c r="D69" s="256"/>
      <c r="E69" s="256"/>
      <c r="F69" s="256"/>
      <c r="G69" s="257">
        <f>(100%)</f>
        <v>1</v>
      </c>
      <c r="H69" s="258"/>
      <c r="I69" s="176">
        <f>SUM(I63:I68)</f>
        <v>13408.960000000003</v>
      </c>
      <c r="J69" s="189" t="e">
        <f>(K69/#REF!)</f>
        <v>#REF!</v>
      </c>
      <c r="K69" s="186" t="e">
        <f>SUM(K63:K68)</f>
        <v>#REF!</v>
      </c>
      <c r="L69" s="92"/>
      <c r="N69" s="6"/>
    </row>
    <row r="70" spans="1:14" s="149" customFormat="1">
      <c r="A70" s="12"/>
      <c r="B70" s="158">
        <v>9</v>
      </c>
      <c r="C70" s="463" t="s">
        <v>53</v>
      </c>
      <c r="D70" s="461"/>
      <c r="E70" s="461"/>
      <c r="F70" s="461"/>
      <c r="G70" s="461"/>
      <c r="H70" s="461"/>
      <c r="I70" s="462"/>
      <c r="J70" s="141"/>
      <c r="K70" s="141"/>
      <c r="L70" s="148"/>
      <c r="N70" s="150"/>
    </row>
    <row r="71" spans="1:14" s="149" customFormat="1" ht="38.25">
      <c r="A71" s="12"/>
      <c r="B71" s="157" t="s">
        <v>225</v>
      </c>
      <c r="C71" s="114" t="s">
        <v>72</v>
      </c>
      <c r="D71" s="115" t="s">
        <v>70</v>
      </c>
      <c r="E71" s="456">
        <v>92542</v>
      </c>
      <c r="F71" s="116">
        <v>87.65</v>
      </c>
      <c r="G71" s="117">
        <v>47.34</v>
      </c>
      <c r="H71" s="118">
        <f>TRUNC(G71*$H$15+G71,2)</f>
        <v>60.42</v>
      </c>
      <c r="I71" s="177">
        <f t="shared" ref="I71:I77" si="6">TRUNC(H71*F71,2)</f>
        <v>5295.81</v>
      </c>
      <c r="J71" s="187">
        <v>0</v>
      </c>
      <c r="K71" s="188" t="e">
        <f>(J71*#REF!)</f>
        <v>#REF!</v>
      </c>
      <c r="L71" s="141"/>
      <c r="N71" s="150"/>
    </row>
    <row r="72" spans="1:14" s="149" customFormat="1" ht="42" customHeight="1">
      <c r="A72" s="12"/>
      <c r="B72" s="157" t="s">
        <v>226</v>
      </c>
      <c r="C72" s="114" t="s">
        <v>176</v>
      </c>
      <c r="D72" s="127" t="s">
        <v>121</v>
      </c>
      <c r="E72" s="456">
        <v>92550</v>
      </c>
      <c r="F72" s="116">
        <v>2</v>
      </c>
      <c r="G72" s="116">
        <v>1094.8699999999999</v>
      </c>
      <c r="H72" s="118">
        <f t="shared" ref="H72:H77" si="7">TRUNC(G72*$H$15+G72,2)</f>
        <v>1397.38</v>
      </c>
      <c r="I72" s="177">
        <f t="shared" si="6"/>
        <v>2794.76</v>
      </c>
      <c r="J72" s="187">
        <v>0</v>
      </c>
      <c r="K72" s="188" t="e">
        <f>(J72*#REF!)</f>
        <v>#REF!</v>
      </c>
      <c r="L72" s="141"/>
      <c r="N72" s="150"/>
    </row>
    <row r="73" spans="1:14" s="149" customFormat="1" ht="45.75" customHeight="1">
      <c r="A73" s="12"/>
      <c r="B73" s="157" t="s">
        <v>227</v>
      </c>
      <c r="C73" s="114" t="s">
        <v>177</v>
      </c>
      <c r="D73" s="127" t="s">
        <v>121</v>
      </c>
      <c r="E73" s="456">
        <v>92259</v>
      </c>
      <c r="F73" s="116">
        <v>4</v>
      </c>
      <c r="G73" s="116">
        <v>226.66</v>
      </c>
      <c r="H73" s="118">
        <f t="shared" si="7"/>
        <v>289.27999999999997</v>
      </c>
      <c r="I73" s="177">
        <f t="shared" si="6"/>
        <v>1157.1199999999999</v>
      </c>
      <c r="J73" s="187">
        <v>0</v>
      </c>
      <c r="K73" s="188" t="e">
        <f>(J73*#REF!)</f>
        <v>#REF!</v>
      </c>
      <c r="L73" s="141"/>
      <c r="N73" s="150"/>
    </row>
    <row r="74" spans="1:14" s="149" customFormat="1" ht="25.5">
      <c r="A74" s="12"/>
      <c r="B74" s="157" t="s">
        <v>228</v>
      </c>
      <c r="C74" s="114" t="s">
        <v>73</v>
      </c>
      <c r="D74" s="115" t="s">
        <v>70</v>
      </c>
      <c r="E74" s="456">
        <v>94204</v>
      </c>
      <c r="F74" s="116">
        <v>87.65</v>
      </c>
      <c r="G74" s="117">
        <v>45.22</v>
      </c>
      <c r="H74" s="118">
        <f t="shared" si="7"/>
        <v>57.71</v>
      </c>
      <c r="I74" s="177">
        <f t="shared" si="6"/>
        <v>5058.28</v>
      </c>
      <c r="J74" s="187">
        <v>0</v>
      </c>
      <c r="K74" s="188" t="e">
        <f>(J74*#REF!)</f>
        <v>#REF!</v>
      </c>
      <c r="L74" s="141"/>
      <c r="N74" s="150"/>
    </row>
    <row r="75" spans="1:14" s="149" customFormat="1" ht="51">
      <c r="A75" s="12"/>
      <c r="B75" s="157" t="s">
        <v>229</v>
      </c>
      <c r="C75" s="114" t="s">
        <v>104</v>
      </c>
      <c r="D75" s="115" t="s">
        <v>69</v>
      </c>
      <c r="E75" s="456">
        <v>94219</v>
      </c>
      <c r="F75" s="116">
        <v>18.309999999999999</v>
      </c>
      <c r="G75" s="117">
        <v>23.66</v>
      </c>
      <c r="H75" s="118">
        <f t="shared" si="7"/>
        <v>30.19</v>
      </c>
      <c r="I75" s="177">
        <f t="shared" si="6"/>
        <v>552.77</v>
      </c>
      <c r="J75" s="187">
        <v>0</v>
      </c>
      <c r="K75" s="188" t="e">
        <f>(J75*#REF!)</f>
        <v>#REF!</v>
      </c>
      <c r="L75" s="141"/>
      <c r="N75" s="150"/>
    </row>
    <row r="76" spans="1:14" s="149" customFormat="1" ht="25.5">
      <c r="A76" s="12"/>
      <c r="B76" s="157" t="s">
        <v>230</v>
      </c>
      <c r="C76" s="114" t="s">
        <v>67</v>
      </c>
      <c r="D76" s="115" t="s">
        <v>69</v>
      </c>
      <c r="E76" s="456">
        <v>94231</v>
      </c>
      <c r="F76" s="116">
        <v>9.1999999999999993</v>
      </c>
      <c r="G76" s="117">
        <v>24.01</v>
      </c>
      <c r="H76" s="118">
        <f t="shared" si="7"/>
        <v>30.64</v>
      </c>
      <c r="I76" s="177">
        <f t="shared" si="6"/>
        <v>281.88</v>
      </c>
      <c r="J76" s="187">
        <v>0</v>
      </c>
      <c r="K76" s="188" t="e">
        <f>(J76*#REF!)</f>
        <v>#REF!</v>
      </c>
      <c r="L76" s="141"/>
      <c r="N76" s="150"/>
    </row>
    <row r="77" spans="1:14" s="149" customFormat="1" ht="38.25">
      <c r="A77" s="12"/>
      <c r="B77" s="157" t="s">
        <v>231</v>
      </c>
      <c r="C77" s="114" t="s">
        <v>68</v>
      </c>
      <c r="D77" s="115" t="s">
        <v>69</v>
      </c>
      <c r="E77" s="456">
        <v>94227</v>
      </c>
      <c r="F77" s="116">
        <v>2</v>
      </c>
      <c r="G77" s="117">
        <v>33.53</v>
      </c>
      <c r="H77" s="118">
        <f t="shared" si="7"/>
        <v>42.79</v>
      </c>
      <c r="I77" s="177">
        <f t="shared" si="6"/>
        <v>85.58</v>
      </c>
      <c r="J77" s="187">
        <v>0</v>
      </c>
      <c r="K77" s="188" t="e">
        <f>(J77*#REF!)</f>
        <v>#REF!</v>
      </c>
      <c r="L77" s="141"/>
      <c r="N77" s="150"/>
    </row>
    <row r="78" spans="1:14" s="1" customFormat="1" ht="12.75" customHeight="1">
      <c r="A78" s="478"/>
      <c r="B78" s="255" t="s">
        <v>6</v>
      </c>
      <c r="C78" s="256"/>
      <c r="D78" s="256"/>
      <c r="E78" s="256"/>
      <c r="F78" s="256"/>
      <c r="G78" s="257">
        <f>(100%)</f>
        <v>1</v>
      </c>
      <c r="H78" s="258"/>
      <c r="I78" s="176">
        <f>SUM(I71:I77)</f>
        <v>15226.2</v>
      </c>
      <c r="J78" s="189" t="e">
        <f>(K78/#REF!)</f>
        <v>#REF!</v>
      </c>
      <c r="K78" s="186" t="e">
        <f>SUM(K71:K76)</f>
        <v>#REF!</v>
      </c>
      <c r="L78" s="92"/>
      <c r="N78" s="6"/>
    </row>
    <row r="79" spans="1:14">
      <c r="B79" s="155">
        <v>10</v>
      </c>
      <c r="C79" s="65" t="s">
        <v>54</v>
      </c>
      <c r="D79" s="250"/>
      <c r="E79" s="250"/>
      <c r="F79" s="250"/>
      <c r="G79" s="250"/>
      <c r="H79" s="250"/>
      <c r="I79" s="251"/>
      <c r="J79" s="98"/>
      <c r="K79" s="98"/>
      <c r="L79" s="94"/>
    </row>
    <row r="80" spans="1:14" ht="42" customHeight="1">
      <c r="B80" s="156" t="s">
        <v>232</v>
      </c>
      <c r="C80" s="97" t="s">
        <v>101</v>
      </c>
      <c r="D80" s="103" t="s">
        <v>77</v>
      </c>
      <c r="E80" s="105" t="s">
        <v>178</v>
      </c>
      <c r="F80" s="100">
        <v>9.0399999999999991</v>
      </c>
      <c r="G80" s="101">
        <f>COMPOSIÇÕES!G37</f>
        <v>321.82</v>
      </c>
      <c r="H80" s="102">
        <f>TRUNC(G80*$H$15+G80,2)</f>
        <v>410.73</v>
      </c>
      <c r="I80" s="175">
        <f>TRUNC(H80*F80,2)</f>
        <v>3712.99</v>
      </c>
      <c r="J80" s="183">
        <v>0</v>
      </c>
      <c r="K80" s="184" t="e">
        <f>(J80*#REF!)</f>
        <v>#REF!</v>
      </c>
      <c r="L80" s="91"/>
    </row>
    <row r="81" spans="1:14" s="149" customFormat="1" ht="25.5">
      <c r="A81" s="12"/>
      <c r="B81" s="157" t="s">
        <v>233</v>
      </c>
      <c r="C81" s="114" t="s">
        <v>71</v>
      </c>
      <c r="D81" s="127" t="s">
        <v>70</v>
      </c>
      <c r="E81" s="456">
        <v>91341</v>
      </c>
      <c r="F81" s="116">
        <v>3.78</v>
      </c>
      <c r="G81" s="117">
        <v>612.92999999999995</v>
      </c>
      <c r="H81" s="118">
        <f>TRUNC(G81*$H$15+G81,2)</f>
        <v>782.28</v>
      </c>
      <c r="I81" s="177">
        <f>TRUNC(H81*F81,2)</f>
        <v>2957.01</v>
      </c>
      <c r="J81" s="187">
        <v>0</v>
      </c>
      <c r="K81" s="188" t="e">
        <f>(J81*#REF!)</f>
        <v>#REF!</v>
      </c>
      <c r="L81" s="141"/>
      <c r="N81" s="150"/>
    </row>
    <row r="82" spans="1:14" s="1" customFormat="1" ht="12.75" customHeight="1">
      <c r="A82" s="478"/>
      <c r="B82" s="255" t="s">
        <v>6</v>
      </c>
      <c r="C82" s="256"/>
      <c r="D82" s="256"/>
      <c r="E82" s="256"/>
      <c r="F82" s="256"/>
      <c r="G82" s="257">
        <f>(100%)</f>
        <v>1</v>
      </c>
      <c r="H82" s="258"/>
      <c r="I82" s="176">
        <f>SUM(I80:I81)</f>
        <v>6670</v>
      </c>
      <c r="J82" s="185" t="e">
        <f>(K82/#REF!)</f>
        <v>#REF!</v>
      </c>
      <c r="K82" s="186" t="e">
        <f>SUM(K80:K81)</f>
        <v>#REF!</v>
      </c>
      <c r="L82" s="92"/>
      <c r="N82" s="6"/>
    </row>
    <row r="83" spans="1:14" s="149" customFormat="1">
      <c r="A83" s="12"/>
      <c r="B83" s="158">
        <v>11</v>
      </c>
      <c r="C83" s="463" t="s">
        <v>55</v>
      </c>
      <c r="D83" s="464"/>
      <c r="E83" s="464"/>
      <c r="F83" s="464"/>
      <c r="G83" s="464"/>
      <c r="H83" s="464"/>
      <c r="I83" s="465"/>
      <c r="J83" s="141"/>
      <c r="K83" s="141"/>
      <c r="L83" s="148"/>
      <c r="N83" s="150"/>
    </row>
    <row r="84" spans="1:14" s="149" customFormat="1" ht="25.5">
      <c r="A84" s="12"/>
      <c r="B84" s="157" t="s">
        <v>234</v>
      </c>
      <c r="C84" s="114" t="s">
        <v>74</v>
      </c>
      <c r="D84" s="127" t="s">
        <v>75</v>
      </c>
      <c r="E84" s="456">
        <v>83534</v>
      </c>
      <c r="F84" s="116">
        <v>3.01</v>
      </c>
      <c r="G84" s="117">
        <v>463.77</v>
      </c>
      <c r="H84" s="118">
        <f>TRUNC(G84*$H$15+G84,2)</f>
        <v>591.9</v>
      </c>
      <c r="I84" s="177">
        <f>TRUNC(H84*F84,2)</f>
        <v>1781.61</v>
      </c>
      <c r="J84" s="187">
        <v>0.8</v>
      </c>
      <c r="K84" s="188" t="e">
        <f>(J84*#REF!)</f>
        <v>#REF!</v>
      </c>
      <c r="L84" s="141"/>
      <c r="N84" s="150"/>
    </row>
    <row r="85" spans="1:14" s="149" customFormat="1" ht="42.75" customHeight="1">
      <c r="A85" s="12"/>
      <c r="B85" s="157" t="s">
        <v>235</v>
      </c>
      <c r="C85" s="114" t="s">
        <v>76</v>
      </c>
      <c r="D85" s="127" t="s">
        <v>77</v>
      </c>
      <c r="E85" s="456">
        <v>87263</v>
      </c>
      <c r="F85" s="116">
        <v>68.11</v>
      </c>
      <c r="G85" s="117">
        <v>80.010000000000005</v>
      </c>
      <c r="H85" s="118">
        <f>TRUNC(G85*$H$15+G85,2)</f>
        <v>102.11</v>
      </c>
      <c r="I85" s="177">
        <f>TRUNC(H85*F85,2)</f>
        <v>6954.71</v>
      </c>
      <c r="J85" s="187">
        <v>0</v>
      </c>
      <c r="K85" s="188" t="e">
        <f>(J85*#REF!)</f>
        <v>#REF!</v>
      </c>
      <c r="L85" s="141"/>
      <c r="N85" s="150"/>
    </row>
    <row r="86" spans="1:14" ht="42.75" customHeight="1">
      <c r="B86" s="156" t="s">
        <v>236</v>
      </c>
      <c r="C86" s="97" t="s">
        <v>159</v>
      </c>
      <c r="D86" s="103" t="s">
        <v>77</v>
      </c>
      <c r="E86" s="111" t="s">
        <v>182</v>
      </c>
      <c r="F86" s="100">
        <v>0.48</v>
      </c>
      <c r="G86" s="101">
        <f>COMPOSIÇÕES!G48</f>
        <v>73.73</v>
      </c>
      <c r="H86" s="102">
        <f>TRUNC(G86*$H$15+G86,2)</f>
        <v>94.1</v>
      </c>
      <c r="I86" s="175">
        <f>TRUNC(H86*F86,2)</f>
        <v>45.16</v>
      </c>
      <c r="J86" s="183">
        <v>0</v>
      </c>
      <c r="K86" s="184" t="e">
        <f>(J86*#REF!)</f>
        <v>#REF!</v>
      </c>
      <c r="L86" s="91"/>
    </row>
    <row r="87" spans="1:14" s="1" customFormat="1" ht="12.75" customHeight="1">
      <c r="A87" s="478"/>
      <c r="B87" s="255" t="s">
        <v>6</v>
      </c>
      <c r="C87" s="256"/>
      <c r="D87" s="256"/>
      <c r="E87" s="256"/>
      <c r="F87" s="256"/>
      <c r="G87" s="257">
        <f>(100%)</f>
        <v>1</v>
      </c>
      <c r="H87" s="258"/>
      <c r="I87" s="176">
        <f>SUM(I84:I86)</f>
        <v>8781.48</v>
      </c>
      <c r="J87" s="185" t="e">
        <f>(K87/#REF!)</f>
        <v>#REF!</v>
      </c>
      <c r="K87" s="186" t="e">
        <f>SUM(K84:K85)</f>
        <v>#REF!</v>
      </c>
      <c r="L87" s="92"/>
      <c r="N87" s="6"/>
    </row>
    <row r="88" spans="1:14" s="149" customFormat="1">
      <c r="A88" s="12"/>
      <c r="B88" s="158">
        <v>12</v>
      </c>
      <c r="C88" s="463" t="s">
        <v>56</v>
      </c>
      <c r="D88" s="461"/>
      <c r="E88" s="461"/>
      <c r="F88" s="461"/>
      <c r="G88" s="461"/>
      <c r="H88" s="461"/>
      <c r="I88" s="462"/>
      <c r="J88" s="141"/>
      <c r="K88" s="141"/>
      <c r="L88" s="148"/>
      <c r="N88" s="150"/>
    </row>
    <row r="89" spans="1:14" s="149" customFormat="1" ht="31.5" customHeight="1">
      <c r="A89" s="12"/>
      <c r="B89" s="157" t="s">
        <v>237</v>
      </c>
      <c r="C89" s="114" t="s">
        <v>90</v>
      </c>
      <c r="D89" s="127" t="s">
        <v>77</v>
      </c>
      <c r="E89" s="456">
        <v>88496</v>
      </c>
      <c r="F89" s="116">
        <v>83.49</v>
      </c>
      <c r="G89" s="117">
        <v>18.12</v>
      </c>
      <c r="H89" s="118">
        <f>TRUNC(G89*$H$15+G89,2)</f>
        <v>23.12</v>
      </c>
      <c r="I89" s="177">
        <f>TRUNC(H89*F89,2)</f>
        <v>1930.28</v>
      </c>
      <c r="J89" s="187">
        <v>0</v>
      </c>
      <c r="K89" s="188" t="e">
        <f>(J89*#REF!)</f>
        <v>#REF!</v>
      </c>
      <c r="L89" s="141"/>
      <c r="N89" s="150"/>
    </row>
    <row r="90" spans="1:14" s="149" customFormat="1" ht="31.5" customHeight="1">
      <c r="A90" s="12"/>
      <c r="B90" s="157" t="s">
        <v>238</v>
      </c>
      <c r="C90" s="114" t="s">
        <v>91</v>
      </c>
      <c r="D90" s="127" t="s">
        <v>77</v>
      </c>
      <c r="E90" s="456">
        <v>88497</v>
      </c>
      <c r="F90" s="116">
        <v>71.680000000000007</v>
      </c>
      <c r="G90" s="117">
        <v>9.99</v>
      </c>
      <c r="H90" s="118">
        <f>TRUNC(G90*$H$15+G90,2)</f>
        <v>12.75</v>
      </c>
      <c r="I90" s="177">
        <f>TRUNC(H90*F90,2)</f>
        <v>913.92</v>
      </c>
      <c r="J90" s="187">
        <v>0</v>
      </c>
      <c r="K90" s="188" t="e">
        <f>(J90*#REF!)</f>
        <v>#REF!</v>
      </c>
      <c r="L90" s="141"/>
      <c r="N90" s="150"/>
    </row>
    <row r="91" spans="1:14" s="149" customFormat="1" ht="30" customHeight="1">
      <c r="A91" s="12"/>
      <c r="B91" s="157" t="s">
        <v>239</v>
      </c>
      <c r="C91" s="114" t="s">
        <v>92</v>
      </c>
      <c r="D91" s="127" t="s">
        <v>77</v>
      </c>
      <c r="E91" s="456">
        <v>96135</v>
      </c>
      <c r="F91" s="116">
        <v>103.75</v>
      </c>
      <c r="G91" s="117">
        <v>17.829999999999998</v>
      </c>
      <c r="H91" s="118">
        <f>TRUNC(G91*$H$15+G91,2)</f>
        <v>22.75</v>
      </c>
      <c r="I91" s="177">
        <f>TRUNC(H91*F91,2)</f>
        <v>2360.31</v>
      </c>
      <c r="J91" s="187">
        <v>0</v>
      </c>
      <c r="K91" s="188" t="e">
        <f>(J91*#REF!)</f>
        <v>#REF!</v>
      </c>
      <c r="L91" s="141"/>
      <c r="N91" s="150"/>
    </row>
    <row r="92" spans="1:14" s="149" customFormat="1" ht="30" customHeight="1">
      <c r="A92" s="12"/>
      <c r="B92" s="157" t="s">
        <v>240</v>
      </c>
      <c r="C92" s="114" t="s">
        <v>88</v>
      </c>
      <c r="D92" s="127" t="s">
        <v>77</v>
      </c>
      <c r="E92" s="456">
        <v>88488</v>
      </c>
      <c r="F92" s="116">
        <v>83.49</v>
      </c>
      <c r="G92" s="117">
        <v>10.92</v>
      </c>
      <c r="H92" s="118">
        <f>TRUNC(G92*$H$15+G92,2)</f>
        <v>13.93</v>
      </c>
      <c r="I92" s="177">
        <f>TRUNC(H92*F92,2)</f>
        <v>1163.01</v>
      </c>
      <c r="J92" s="187">
        <v>0</v>
      </c>
      <c r="K92" s="188" t="e">
        <f>(J92*#REF!)</f>
        <v>#REF!</v>
      </c>
      <c r="L92" s="141"/>
      <c r="N92" s="150"/>
    </row>
    <row r="93" spans="1:14" s="149" customFormat="1" ht="25.5">
      <c r="A93" s="12"/>
      <c r="B93" s="157" t="s">
        <v>241</v>
      </c>
      <c r="C93" s="114" t="s">
        <v>89</v>
      </c>
      <c r="D93" s="127" t="s">
        <v>77</v>
      </c>
      <c r="E93" s="456">
        <v>88489</v>
      </c>
      <c r="F93" s="116">
        <v>175.43</v>
      </c>
      <c r="G93" s="117">
        <v>9.65</v>
      </c>
      <c r="H93" s="118">
        <f>TRUNC(G93*$H$15+G93,2)</f>
        <v>12.31</v>
      </c>
      <c r="I93" s="177">
        <f>TRUNC(H93*F93,2)</f>
        <v>2159.54</v>
      </c>
      <c r="J93" s="187">
        <v>0</v>
      </c>
      <c r="K93" s="188" t="e">
        <f>(J93*#REF!)</f>
        <v>#REF!</v>
      </c>
      <c r="L93" s="141"/>
      <c r="N93" s="150"/>
    </row>
    <row r="94" spans="1:14" s="1" customFormat="1" ht="12.75" customHeight="1">
      <c r="A94" s="478"/>
      <c r="B94" s="255" t="s">
        <v>6</v>
      </c>
      <c r="C94" s="256"/>
      <c r="D94" s="256"/>
      <c r="E94" s="256"/>
      <c r="F94" s="256"/>
      <c r="G94" s="257">
        <f>(100%)</f>
        <v>1</v>
      </c>
      <c r="H94" s="258"/>
      <c r="I94" s="176">
        <f>SUM(I89:I93)</f>
        <v>8527.0600000000013</v>
      </c>
      <c r="J94" s="185" t="e">
        <f>(K94/#REF!)</f>
        <v>#REF!</v>
      </c>
      <c r="K94" s="186" t="e">
        <f>SUM(K92:K93)</f>
        <v>#REF!</v>
      </c>
      <c r="L94" s="92"/>
      <c r="M94" s="106"/>
      <c r="N94" s="6"/>
    </row>
    <row r="95" spans="1:14" s="149" customFormat="1">
      <c r="A95" s="12"/>
      <c r="B95" s="158">
        <v>13</v>
      </c>
      <c r="C95" s="443" t="s">
        <v>58</v>
      </c>
      <c r="D95" s="461"/>
      <c r="E95" s="461"/>
      <c r="F95" s="461"/>
      <c r="G95" s="461"/>
      <c r="H95" s="461"/>
      <c r="I95" s="462"/>
      <c r="J95" s="141"/>
      <c r="K95" s="141"/>
      <c r="L95" s="148"/>
      <c r="N95" s="150"/>
    </row>
    <row r="96" spans="1:14" s="149" customFormat="1" ht="28.5" customHeight="1">
      <c r="A96" s="12"/>
      <c r="B96" s="157" t="s">
        <v>242</v>
      </c>
      <c r="C96" s="114" t="s">
        <v>120</v>
      </c>
      <c r="D96" s="127" t="s">
        <v>69</v>
      </c>
      <c r="E96" s="456">
        <v>89356</v>
      </c>
      <c r="F96" s="116">
        <v>9.64</v>
      </c>
      <c r="G96" s="117">
        <v>14.96</v>
      </c>
      <c r="H96" s="118">
        <f>TRUNC(G96*$H$15+G96,2)</f>
        <v>19.09</v>
      </c>
      <c r="I96" s="177">
        <f t="shared" ref="I96:I122" si="8">TRUNC(H96*F96,2)</f>
        <v>184.02</v>
      </c>
      <c r="J96" s="187">
        <v>0</v>
      </c>
      <c r="K96" s="188" t="e">
        <f>(J96*#REF!)</f>
        <v>#REF!</v>
      </c>
      <c r="L96" s="141"/>
      <c r="N96" s="150"/>
    </row>
    <row r="97" spans="1:14" s="149" customFormat="1" ht="36" customHeight="1">
      <c r="A97" s="12"/>
      <c r="B97" s="157" t="s">
        <v>243</v>
      </c>
      <c r="C97" s="114" t="s">
        <v>161</v>
      </c>
      <c r="D97" s="127" t="s">
        <v>69</v>
      </c>
      <c r="E97" s="456">
        <v>89448</v>
      </c>
      <c r="F97" s="116">
        <v>10.85</v>
      </c>
      <c r="G97" s="117">
        <v>10.27</v>
      </c>
      <c r="H97" s="118">
        <f t="shared" ref="H97:H108" si="9">TRUNC(G97*$H$15+G97,2)</f>
        <v>13.1</v>
      </c>
      <c r="I97" s="177">
        <f t="shared" si="8"/>
        <v>142.13</v>
      </c>
      <c r="J97" s="187">
        <v>0</v>
      </c>
      <c r="K97" s="188" t="e">
        <f>(J97*#REF!)</f>
        <v>#REF!</v>
      </c>
      <c r="L97" s="141"/>
      <c r="N97" s="150"/>
    </row>
    <row r="98" spans="1:14" s="149" customFormat="1" ht="30.75" customHeight="1">
      <c r="A98" s="12"/>
      <c r="B98" s="157" t="s">
        <v>244</v>
      </c>
      <c r="C98" s="114" t="s">
        <v>162</v>
      </c>
      <c r="D98" s="127" t="s">
        <v>121</v>
      </c>
      <c r="E98" s="456">
        <v>89499</v>
      </c>
      <c r="F98" s="116">
        <v>3</v>
      </c>
      <c r="G98" s="117">
        <v>11.72</v>
      </c>
      <c r="H98" s="118">
        <f t="shared" si="9"/>
        <v>14.95</v>
      </c>
      <c r="I98" s="177">
        <f t="shared" si="8"/>
        <v>44.85</v>
      </c>
      <c r="J98" s="187">
        <v>0</v>
      </c>
      <c r="K98" s="188" t="e">
        <f>(J98*#REF!)</f>
        <v>#REF!</v>
      </c>
      <c r="L98" s="141"/>
      <c r="N98" s="150"/>
    </row>
    <row r="99" spans="1:14" s="149" customFormat="1" ht="30.75" customHeight="1">
      <c r="A99" s="12"/>
      <c r="B99" s="157" t="s">
        <v>245</v>
      </c>
      <c r="C99" s="114" t="s">
        <v>163</v>
      </c>
      <c r="D99" s="127" t="s">
        <v>121</v>
      </c>
      <c r="E99" s="456">
        <v>89500</v>
      </c>
      <c r="F99" s="116">
        <v>1</v>
      </c>
      <c r="G99" s="117">
        <v>7.48</v>
      </c>
      <c r="H99" s="118">
        <f t="shared" si="9"/>
        <v>9.5399999999999991</v>
      </c>
      <c r="I99" s="177">
        <f t="shared" si="8"/>
        <v>9.5399999999999991</v>
      </c>
      <c r="J99" s="187">
        <v>0</v>
      </c>
      <c r="K99" s="188" t="e">
        <f>(J99*#REF!)</f>
        <v>#REF!</v>
      </c>
      <c r="L99" s="141"/>
      <c r="N99" s="150"/>
    </row>
    <row r="100" spans="1:14" s="149" customFormat="1" ht="30.75" customHeight="1">
      <c r="A100" s="12"/>
      <c r="B100" s="157" t="s">
        <v>246</v>
      </c>
      <c r="C100" s="114" t="s">
        <v>122</v>
      </c>
      <c r="D100" s="127" t="s">
        <v>121</v>
      </c>
      <c r="E100" s="456">
        <v>89481</v>
      </c>
      <c r="F100" s="116">
        <v>4</v>
      </c>
      <c r="G100" s="117">
        <v>3.15</v>
      </c>
      <c r="H100" s="118">
        <f t="shared" si="9"/>
        <v>4.0199999999999996</v>
      </c>
      <c r="I100" s="177">
        <f t="shared" si="8"/>
        <v>16.079999999999998</v>
      </c>
      <c r="J100" s="187">
        <v>0</v>
      </c>
      <c r="K100" s="188" t="e">
        <f>(J100*#REF!)</f>
        <v>#REF!</v>
      </c>
      <c r="L100" s="141"/>
      <c r="N100" s="150"/>
    </row>
    <row r="101" spans="1:14" s="149" customFormat="1" ht="42" customHeight="1">
      <c r="A101" s="12"/>
      <c r="B101" s="157" t="s">
        <v>247</v>
      </c>
      <c r="C101" s="114" t="s">
        <v>123</v>
      </c>
      <c r="D101" s="127" t="s">
        <v>121</v>
      </c>
      <c r="E101" s="456">
        <v>90373</v>
      </c>
      <c r="F101" s="116">
        <v>3</v>
      </c>
      <c r="G101" s="117">
        <v>9.7200000000000006</v>
      </c>
      <c r="H101" s="118">
        <f t="shared" si="9"/>
        <v>12.4</v>
      </c>
      <c r="I101" s="177">
        <f t="shared" si="8"/>
        <v>37.200000000000003</v>
      </c>
      <c r="J101" s="187">
        <v>0</v>
      </c>
      <c r="K101" s="188" t="e">
        <f>(J101*#REF!)</f>
        <v>#REF!</v>
      </c>
      <c r="L101" s="141"/>
      <c r="N101" s="150"/>
    </row>
    <row r="102" spans="1:14" s="149" customFormat="1" ht="57.75" customHeight="1">
      <c r="A102" s="12"/>
      <c r="B102" s="157" t="s">
        <v>248</v>
      </c>
      <c r="C102" s="114" t="s">
        <v>164</v>
      </c>
      <c r="D102" s="127" t="s">
        <v>121</v>
      </c>
      <c r="E102" s="456">
        <v>94705</v>
      </c>
      <c r="F102" s="116">
        <v>1</v>
      </c>
      <c r="G102" s="117">
        <v>32.07</v>
      </c>
      <c r="H102" s="118">
        <f t="shared" si="9"/>
        <v>40.93</v>
      </c>
      <c r="I102" s="177">
        <f t="shared" si="8"/>
        <v>40.93</v>
      </c>
      <c r="J102" s="187">
        <v>0</v>
      </c>
      <c r="K102" s="188" t="e">
        <f>(J102*#REF!)</f>
        <v>#REF!</v>
      </c>
      <c r="L102" s="141"/>
      <c r="N102" s="150"/>
    </row>
    <row r="103" spans="1:14" s="149" customFormat="1" ht="38.25">
      <c r="A103" s="12"/>
      <c r="B103" s="157" t="s">
        <v>249</v>
      </c>
      <c r="C103" s="114" t="s">
        <v>165</v>
      </c>
      <c r="D103" s="127" t="s">
        <v>121</v>
      </c>
      <c r="E103" s="456">
        <v>96664</v>
      </c>
      <c r="F103" s="116">
        <v>2</v>
      </c>
      <c r="G103" s="117">
        <v>17.14</v>
      </c>
      <c r="H103" s="118">
        <f t="shared" si="9"/>
        <v>21.87</v>
      </c>
      <c r="I103" s="177">
        <f t="shared" si="8"/>
        <v>43.74</v>
      </c>
      <c r="J103" s="187">
        <v>0</v>
      </c>
      <c r="K103" s="188" t="e">
        <f>(J103*#REF!)</f>
        <v>#REF!</v>
      </c>
      <c r="L103" s="141"/>
      <c r="N103" s="150"/>
    </row>
    <row r="104" spans="1:14" s="149" customFormat="1" ht="43.5" customHeight="1">
      <c r="A104" s="12"/>
      <c r="B104" s="157" t="s">
        <v>250</v>
      </c>
      <c r="C104" s="114" t="s">
        <v>166</v>
      </c>
      <c r="D104" s="127" t="s">
        <v>121</v>
      </c>
      <c r="E104" s="456">
        <v>89623</v>
      </c>
      <c r="F104" s="116">
        <v>1</v>
      </c>
      <c r="G104" s="117">
        <v>11.5</v>
      </c>
      <c r="H104" s="118">
        <f t="shared" si="9"/>
        <v>14.67</v>
      </c>
      <c r="I104" s="177">
        <f t="shared" si="8"/>
        <v>14.67</v>
      </c>
      <c r="J104" s="187">
        <v>0</v>
      </c>
      <c r="K104" s="188" t="e">
        <f>(J104*#REF!)</f>
        <v>#REF!</v>
      </c>
      <c r="L104" s="141"/>
      <c r="N104" s="150"/>
    </row>
    <row r="105" spans="1:14" s="149" customFormat="1" ht="26.25" customHeight="1">
      <c r="A105" s="12"/>
      <c r="B105" s="157" t="s">
        <v>251</v>
      </c>
      <c r="C105" s="114" t="s">
        <v>124</v>
      </c>
      <c r="D105" s="127" t="s">
        <v>121</v>
      </c>
      <c r="E105" s="456">
        <v>88503</v>
      </c>
      <c r="F105" s="116">
        <v>1</v>
      </c>
      <c r="G105" s="117">
        <v>639.88</v>
      </c>
      <c r="H105" s="118">
        <f t="shared" si="9"/>
        <v>816.67</v>
      </c>
      <c r="I105" s="177">
        <f t="shared" si="8"/>
        <v>816.67</v>
      </c>
      <c r="J105" s="187">
        <v>0</v>
      </c>
      <c r="K105" s="188" t="e">
        <f>(J105*#REF!)</f>
        <v>#REF!</v>
      </c>
      <c r="L105" s="141"/>
      <c r="N105" s="150"/>
    </row>
    <row r="106" spans="1:14" s="149" customFormat="1" ht="60.75" customHeight="1">
      <c r="A106" s="12"/>
      <c r="B106" s="157" t="s">
        <v>252</v>
      </c>
      <c r="C106" s="114" t="s">
        <v>179</v>
      </c>
      <c r="D106" s="127" t="s">
        <v>121</v>
      </c>
      <c r="E106" s="457">
        <v>94793</v>
      </c>
      <c r="F106" s="116">
        <v>1</v>
      </c>
      <c r="G106" s="117">
        <v>66.5</v>
      </c>
      <c r="H106" s="118">
        <f t="shared" si="9"/>
        <v>84.87</v>
      </c>
      <c r="I106" s="177">
        <f t="shared" si="8"/>
        <v>84.87</v>
      </c>
      <c r="J106" s="187">
        <v>0</v>
      </c>
      <c r="K106" s="188" t="e">
        <f>(J106*#REF!)</f>
        <v>#REF!</v>
      </c>
      <c r="L106" s="141"/>
      <c r="N106" s="150"/>
    </row>
    <row r="107" spans="1:14" s="149" customFormat="1" ht="25.5">
      <c r="A107" s="12"/>
      <c r="B107" s="157" t="s">
        <v>253</v>
      </c>
      <c r="C107" s="114" t="s">
        <v>127</v>
      </c>
      <c r="D107" s="127" t="s">
        <v>121</v>
      </c>
      <c r="E107" s="456">
        <v>86909</v>
      </c>
      <c r="F107" s="116">
        <v>3</v>
      </c>
      <c r="G107" s="117">
        <v>102.42</v>
      </c>
      <c r="H107" s="118">
        <f t="shared" si="9"/>
        <v>130.71</v>
      </c>
      <c r="I107" s="177">
        <f t="shared" si="8"/>
        <v>392.13</v>
      </c>
      <c r="J107" s="187">
        <v>0</v>
      </c>
      <c r="K107" s="188" t="e">
        <f>(J107*#REF!)</f>
        <v>#REF!</v>
      </c>
      <c r="L107" s="141"/>
      <c r="N107" s="150"/>
    </row>
    <row r="108" spans="1:14" s="149" customFormat="1" ht="25.5">
      <c r="A108" s="12"/>
      <c r="B108" s="157" t="s">
        <v>254</v>
      </c>
      <c r="C108" s="114" t="s">
        <v>128</v>
      </c>
      <c r="D108" s="127" t="s">
        <v>2</v>
      </c>
      <c r="E108" s="456">
        <v>86884</v>
      </c>
      <c r="F108" s="116">
        <v>3</v>
      </c>
      <c r="G108" s="117">
        <v>6.25</v>
      </c>
      <c r="H108" s="118">
        <f t="shared" si="9"/>
        <v>7.97</v>
      </c>
      <c r="I108" s="177">
        <f t="shared" si="8"/>
        <v>23.91</v>
      </c>
      <c r="J108" s="187">
        <v>0</v>
      </c>
      <c r="K108" s="188" t="e">
        <f>(J108*#REF!)</f>
        <v>#REF!</v>
      </c>
      <c r="L108" s="141"/>
      <c r="N108" s="150"/>
    </row>
    <row r="109" spans="1:14">
      <c r="B109" s="248" t="s">
        <v>57</v>
      </c>
      <c r="C109" s="254"/>
      <c r="D109" s="103"/>
      <c r="E109" s="99"/>
      <c r="F109" s="100"/>
      <c r="G109" s="101"/>
      <c r="H109" s="102"/>
      <c r="I109" s="175"/>
      <c r="J109" s="183">
        <v>0</v>
      </c>
      <c r="K109" s="184" t="e">
        <f>(J109*#REF!)</f>
        <v>#REF!</v>
      </c>
      <c r="L109" s="91"/>
    </row>
    <row r="110" spans="1:14" s="149" customFormat="1" ht="25.5">
      <c r="A110" s="12"/>
      <c r="B110" s="157" t="s">
        <v>255</v>
      </c>
      <c r="C110" s="114" t="s">
        <v>309</v>
      </c>
      <c r="D110" s="127" t="s">
        <v>121</v>
      </c>
      <c r="E110" s="457" t="s">
        <v>308</v>
      </c>
      <c r="F110" s="117">
        <v>2</v>
      </c>
      <c r="G110" s="117">
        <v>167.1</v>
      </c>
      <c r="H110" s="118">
        <f>TRUNC(G110*$H$15+G110,2)</f>
        <v>213.26</v>
      </c>
      <c r="I110" s="177">
        <f t="shared" si="8"/>
        <v>426.52</v>
      </c>
      <c r="J110" s="187">
        <v>1</v>
      </c>
      <c r="K110" s="188" t="e">
        <f>(J110*#REF!)</f>
        <v>#REF!</v>
      </c>
      <c r="L110" s="141"/>
      <c r="N110" s="150"/>
    </row>
    <row r="111" spans="1:14" s="149" customFormat="1" ht="38.25">
      <c r="A111" s="12"/>
      <c r="B111" s="157" t="s">
        <v>256</v>
      </c>
      <c r="C111" s="114" t="s">
        <v>167</v>
      </c>
      <c r="D111" s="127" t="s">
        <v>121</v>
      </c>
      <c r="E111" s="456">
        <v>89714</v>
      </c>
      <c r="F111" s="117">
        <v>7.87</v>
      </c>
      <c r="G111" s="117">
        <v>36.83</v>
      </c>
      <c r="H111" s="118">
        <f t="shared" ref="H111:H119" si="10">TRUNC(G111*$H$15+G111,2)</f>
        <v>47</v>
      </c>
      <c r="I111" s="177">
        <f t="shared" si="8"/>
        <v>369.89</v>
      </c>
      <c r="J111" s="187">
        <v>1</v>
      </c>
      <c r="K111" s="188" t="e">
        <f>(J111*#REF!)</f>
        <v>#REF!</v>
      </c>
      <c r="L111" s="141"/>
      <c r="N111" s="150"/>
    </row>
    <row r="112" spans="1:14" s="149" customFormat="1" ht="38.25">
      <c r="A112" s="12"/>
      <c r="B112" s="157" t="s">
        <v>257</v>
      </c>
      <c r="C112" s="114" t="s">
        <v>130</v>
      </c>
      <c r="D112" s="127" t="s">
        <v>121</v>
      </c>
      <c r="E112" s="456">
        <v>89712</v>
      </c>
      <c r="F112" s="117">
        <v>3.27</v>
      </c>
      <c r="G112" s="117">
        <v>19.059999999999999</v>
      </c>
      <c r="H112" s="118">
        <f t="shared" si="10"/>
        <v>24.32</v>
      </c>
      <c r="I112" s="177">
        <f t="shared" si="8"/>
        <v>79.52</v>
      </c>
      <c r="J112" s="187">
        <v>1</v>
      </c>
      <c r="K112" s="188" t="e">
        <f>(J112*#REF!)</f>
        <v>#REF!</v>
      </c>
      <c r="L112" s="141"/>
      <c r="N112" s="150"/>
    </row>
    <row r="113" spans="1:14" s="149" customFormat="1" ht="38.25">
      <c r="A113" s="12"/>
      <c r="B113" s="157" t="s">
        <v>258</v>
      </c>
      <c r="C113" s="114" t="s">
        <v>168</v>
      </c>
      <c r="D113" s="127" t="s">
        <v>121</v>
      </c>
      <c r="E113" s="456">
        <v>89711</v>
      </c>
      <c r="F113" s="117">
        <v>8.89</v>
      </c>
      <c r="G113" s="117">
        <v>12.93</v>
      </c>
      <c r="H113" s="118">
        <f t="shared" si="10"/>
        <v>16.5</v>
      </c>
      <c r="I113" s="177">
        <f t="shared" si="8"/>
        <v>146.68</v>
      </c>
      <c r="J113" s="187">
        <v>1</v>
      </c>
      <c r="K113" s="188" t="e">
        <f>(J113*#REF!)</f>
        <v>#REF!</v>
      </c>
      <c r="L113" s="141"/>
      <c r="N113" s="150"/>
    </row>
    <row r="114" spans="1:14" s="149" customFormat="1" ht="38.25">
      <c r="A114" s="12"/>
      <c r="B114" s="157" t="s">
        <v>259</v>
      </c>
      <c r="C114" s="114" t="s">
        <v>169</v>
      </c>
      <c r="D114" s="127" t="s">
        <v>121</v>
      </c>
      <c r="E114" s="456">
        <v>89728</v>
      </c>
      <c r="F114" s="117">
        <v>3</v>
      </c>
      <c r="G114" s="117">
        <v>7.27</v>
      </c>
      <c r="H114" s="118">
        <f t="shared" si="10"/>
        <v>9.27</v>
      </c>
      <c r="I114" s="177">
        <f t="shared" si="8"/>
        <v>27.81</v>
      </c>
      <c r="J114" s="187">
        <v>1</v>
      </c>
      <c r="K114" s="188" t="e">
        <f>(J114*#REF!)</f>
        <v>#REF!</v>
      </c>
      <c r="L114" s="141"/>
      <c r="N114" s="150"/>
    </row>
    <row r="115" spans="1:14" s="149" customFormat="1" ht="44.25" customHeight="1">
      <c r="A115" s="12"/>
      <c r="B115" s="157" t="s">
        <v>260</v>
      </c>
      <c r="C115" s="114" t="s">
        <v>170</v>
      </c>
      <c r="D115" s="127" t="s">
        <v>121</v>
      </c>
      <c r="E115" s="456">
        <v>89726</v>
      </c>
      <c r="F115" s="117">
        <v>3</v>
      </c>
      <c r="G115" s="117">
        <v>6.14</v>
      </c>
      <c r="H115" s="118">
        <f t="shared" si="10"/>
        <v>7.83</v>
      </c>
      <c r="I115" s="177">
        <f t="shared" si="8"/>
        <v>23.49</v>
      </c>
      <c r="J115" s="187">
        <v>1</v>
      </c>
      <c r="K115" s="188" t="e">
        <f>(J115*#REF!)</f>
        <v>#REF!</v>
      </c>
      <c r="L115" s="141"/>
      <c r="N115" s="150"/>
    </row>
    <row r="116" spans="1:14" s="149" customFormat="1" ht="44.25" customHeight="1">
      <c r="A116" s="12"/>
      <c r="B116" s="157" t="s">
        <v>261</v>
      </c>
      <c r="C116" s="114" t="s">
        <v>171</v>
      </c>
      <c r="D116" s="127" t="s">
        <v>121</v>
      </c>
      <c r="E116" s="456">
        <v>89752</v>
      </c>
      <c r="F116" s="117">
        <v>4</v>
      </c>
      <c r="G116" s="117">
        <v>4.3099999999999996</v>
      </c>
      <c r="H116" s="118">
        <f t="shared" si="10"/>
        <v>5.5</v>
      </c>
      <c r="I116" s="177">
        <f t="shared" si="8"/>
        <v>22</v>
      </c>
      <c r="J116" s="187">
        <v>1</v>
      </c>
      <c r="K116" s="188" t="e">
        <f>(J116*#REF!)</f>
        <v>#REF!</v>
      </c>
      <c r="L116" s="141"/>
      <c r="N116" s="150"/>
    </row>
    <row r="117" spans="1:14" s="149" customFormat="1" ht="54" customHeight="1">
      <c r="A117" s="12"/>
      <c r="B117" s="157" t="s">
        <v>262</v>
      </c>
      <c r="C117" s="114" t="s">
        <v>172</v>
      </c>
      <c r="D117" s="127" t="s">
        <v>121</v>
      </c>
      <c r="E117" s="456">
        <v>89753</v>
      </c>
      <c r="F117" s="117">
        <v>2</v>
      </c>
      <c r="G117" s="117">
        <v>6.1</v>
      </c>
      <c r="H117" s="118">
        <f t="shared" si="10"/>
        <v>7.78</v>
      </c>
      <c r="I117" s="177">
        <f t="shared" si="8"/>
        <v>15.56</v>
      </c>
      <c r="J117" s="187">
        <v>1</v>
      </c>
      <c r="K117" s="188" t="e">
        <f>(J117*#REF!)</f>
        <v>#REF!</v>
      </c>
      <c r="L117" s="141"/>
      <c r="N117" s="150"/>
    </row>
    <row r="118" spans="1:14" s="149" customFormat="1" ht="38.25">
      <c r="A118" s="12"/>
      <c r="B118" s="157" t="s">
        <v>263</v>
      </c>
      <c r="C118" s="114" t="s">
        <v>129</v>
      </c>
      <c r="D118" s="127" t="s">
        <v>121</v>
      </c>
      <c r="E118" s="456">
        <v>89707</v>
      </c>
      <c r="F118" s="117">
        <v>3</v>
      </c>
      <c r="G118" s="117">
        <v>20.99</v>
      </c>
      <c r="H118" s="118">
        <f t="shared" si="10"/>
        <v>26.78</v>
      </c>
      <c r="I118" s="177">
        <f t="shared" si="8"/>
        <v>80.34</v>
      </c>
      <c r="J118" s="187">
        <v>1</v>
      </c>
      <c r="K118" s="188" t="e">
        <f>(J118*#REF!)</f>
        <v>#REF!</v>
      </c>
      <c r="L118" s="141"/>
      <c r="N118" s="150"/>
    </row>
    <row r="119" spans="1:14" s="149" customFormat="1" ht="31.5" customHeight="1">
      <c r="A119" s="12"/>
      <c r="B119" s="157" t="s">
        <v>264</v>
      </c>
      <c r="C119" s="114" t="s">
        <v>173</v>
      </c>
      <c r="D119" s="127" t="s">
        <v>121</v>
      </c>
      <c r="E119" s="456">
        <v>86882</v>
      </c>
      <c r="F119" s="117">
        <v>3</v>
      </c>
      <c r="G119" s="117">
        <v>14.5</v>
      </c>
      <c r="H119" s="118">
        <f t="shared" si="10"/>
        <v>18.5</v>
      </c>
      <c r="I119" s="177">
        <f t="shared" si="8"/>
        <v>55.5</v>
      </c>
      <c r="J119" s="187">
        <v>1</v>
      </c>
      <c r="K119" s="188" t="e">
        <f>(J119*#REF!)</f>
        <v>#REF!</v>
      </c>
      <c r="L119" s="141"/>
      <c r="N119" s="150"/>
    </row>
    <row r="120" spans="1:14" s="149" customFormat="1" ht="15.75" customHeight="1">
      <c r="A120" s="12"/>
      <c r="B120" s="466" t="s">
        <v>59</v>
      </c>
      <c r="C120" s="467"/>
      <c r="D120" s="468"/>
      <c r="E120" s="469"/>
      <c r="F120" s="470"/>
      <c r="G120" s="471"/>
      <c r="H120" s="472"/>
      <c r="I120" s="473"/>
      <c r="J120" s="187">
        <v>0</v>
      </c>
      <c r="K120" s="188" t="e">
        <f>(J120*#REF!)</f>
        <v>#REF!</v>
      </c>
      <c r="L120" s="141"/>
      <c r="N120" s="150"/>
    </row>
    <row r="121" spans="1:14" s="149" customFormat="1" ht="38.25">
      <c r="A121" s="12"/>
      <c r="B121" s="157" t="s">
        <v>265</v>
      </c>
      <c r="C121" s="114" t="s">
        <v>125</v>
      </c>
      <c r="D121" s="127" t="s">
        <v>69</v>
      </c>
      <c r="E121" s="456">
        <v>89576</v>
      </c>
      <c r="F121" s="117">
        <v>3</v>
      </c>
      <c r="G121" s="117">
        <v>12.73</v>
      </c>
      <c r="H121" s="118">
        <f>TRUNC(G121*$H$15+G121,2)</f>
        <v>16.239999999999998</v>
      </c>
      <c r="I121" s="177">
        <f t="shared" si="8"/>
        <v>48.72</v>
      </c>
      <c r="J121" s="187">
        <v>0</v>
      </c>
      <c r="K121" s="188" t="e">
        <f>(J121*#REF!)</f>
        <v>#REF!</v>
      </c>
      <c r="L121" s="141"/>
      <c r="N121" s="150"/>
    </row>
    <row r="122" spans="1:14" s="149" customFormat="1" ht="44.25" customHeight="1">
      <c r="A122" s="12"/>
      <c r="B122" s="157" t="s">
        <v>266</v>
      </c>
      <c r="C122" s="114" t="s">
        <v>126</v>
      </c>
      <c r="D122" s="127" t="s">
        <v>121</v>
      </c>
      <c r="E122" s="456">
        <v>89522</v>
      </c>
      <c r="F122" s="117">
        <v>1</v>
      </c>
      <c r="G122" s="117">
        <v>16.239999999999998</v>
      </c>
      <c r="H122" s="118">
        <f>TRUNC(G122*$H$15+G122,2)</f>
        <v>20.72</v>
      </c>
      <c r="I122" s="177">
        <f t="shared" si="8"/>
        <v>20.72</v>
      </c>
      <c r="J122" s="187">
        <v>0</v>
      </c>
      <c r="K122" s="188" t="e">
        <f>(J122*#REF!)</f>
        <v>#REF!</v>
      </c>
      <c r="L122" s="141"/>
      <c r="N122" s="150"/>
    </row>
    <row r="123" spans="1:14" s="1" customFormat="1" ht="12.75" customHeight="1">
      <c r="A123" s="478"/>
      <c r="B123" s="244" t="s">
        <v>6</v>
      </c>
      <c r="C123" s="245"/>
      <c r="D123" s="245"/>
      <c r="E123" s="245"/>
      <c r="F123" s="245"/>
      <c r="G123" s="246">
        <f>(100%)</f>
        <v>1</v>
      </c>
      <c r="H123" s="247"/>
      <c r="I123" s="178">
        <f>SUM(I96:I122)</f>
        <v>3167.4899999999993</v>
      </c>
      <c r="J123" s="185" t="e">
        <f>(K123/#REF!)</f>
        <v>#REF!</v>
      </c>
      <c r="K123" s="186" t="e">
        <f>SUM(K120:K122)</f>
        <v>#REF!</v>
      </c>
      <c r="L123" s="92"/>
      <c r="N123" s="6"/>
    </row>
    <row r="124" spans="1:14" s="149" customFormat="1" ht="16.5" customHeight="1">
      <c r="A124" s="12"/>
      <c r="B124" s="158">
        <v>14</v>
      </c>
      <c r="C124" s="443" t="s">
        <v>64</v>
      </c>
      <c r="D124" s="461"/>
      <c r="E124" s="461"/>
      <c r="F124" s="461"/>
      <c r="G124" s="461"/>
      <c r="H124" s="461"/>
      <c r="I124" s="462"/>
      <c r="J124" s="141"/>
      <c r="K124" s="141"/>
      <c r="L124" s="148"/>
      <c r="N124" s="150"/>
    </row>
    <row r="125" spans="1:14" s="149" customFormat="1" ht="38.25">
      <c r="A125" s="12"/>
      <c r="B125" s="157" t="s">
        <v>277</v>
      </c>
      <c r="C125" s="114" t="s">
        <v>267</v>
      </c>
      <c r="D125" s="127" t="s">
        <v>69</v>
      </c>
      <c r="E125" s="456">
        <v>91927</v>
      </c>
      <c r="F125" s="116">
        <v>166.3</v>
      </c>
      <c r="G125" s="117">
        <v>3.13</v>
      </c>
      <c r="H125" s="118">
        <f>TRUNC((G125*$H$15)+G125,2)</f>
        <v>3.99</v>
      </c>
      <c r="I125" s="177">
        <f>TRUNC(H125*F125,2)</f>
        <v>663.53</v>
      </c>
      <c r="J125" s="187">
        <v>0</v>
      </c>
      <c r="K125" s="188" t="e">
        <f>(J125*#REF!)</f>
        <v>#REF!</v>
      </c>
      <c r="L125" s="141"/>
      <c r="N125" s="150"/>
    </row>
    <row r="126" spans="1:14" s="149" customFormat="1" ht="38.25">
      <c r="A126" s="12"/>
      <c r="B126" s="157" t="s">
        <v>278</v>
      </c>
      <c r="C126" s="114" t="s">
        <v>268</v>
      </c>
      <c r="D126" s="127" t="s">
        <v>69</v>
      </c>
      <c r="E126" s="456">
        <v>91929</v>
      </c>
      <c r="F126" s="116">
        <v>91.8</v>
      </c>
      <c r="G126" s="117">
        <v>4.38</v>
      </c>
      <c r="H126" s="118">
        <f t="shared" ref="H126:H146" si="11">TRUNC((G126*$H$15)+G126,2)</f>
        <v>5.59</v>
      </c>
      <c r="I126" s="177">
        <f t="shared" ref="I126:I146" si="12">TRUNC(H126*F126,2)</f>
        <v>513.16</v>
      </c>
      <c r="J126" s="187">
        <v>0</v>
      </c>
      <c r="K126" s="188" t="e">
        <f>(J126*#REF!)</f>
        <v>#REF!</v>
      </c>
      <c r="L126" s="141"/>
      <c r="N126" s="150"/>
    </row>
    <row r="127" spans="1:14" s="149" customFormat="1" ht="38.25">
      <c r="A127" s="12"/>
      <c r="B127" s="157" t="s">
        <v>279</v>
      </c>
      <c r="C127" s="114" t="s">
        <v>269</v>
      </c>
      <c r="D127" s="127" t="s">
        <v>69</v>
      </c>
      <c r="E127" s="456">
        <v>91935</v>
      </c>
      <c r="F127" s="116">
        <v>46.5</v>
      </c>
      <c r="G127" s="117">
        <v>14.02</v>
      </c>
      <c r="H127" s="118">
        <f t="shared" si="11"/>
        <v>17.89</v>
      </c>
      <c r="I127" s="177">
        <f t="shared" si="12"/>
        <v>831.88</v>
      </c>
      <c r="J127" s="187"/>
      <c r="K127" s="188"/>
      <c r="L127" s="141"/>
      <c r="N127" s="150"/>
    </row>
    <row r="128" spans="1:14" s="149" customFormat="1" ht="33.75" customHeight="1">
      <c r="A128" s="12"/>
      <c r="B128" s="157" t="s">
        <v>280</v>
      </c>
      <c r="C128" s="114" t="s">
        <v>143</v>
      </c>
      <c r="D128" s="127" t="s">
        <v>121</v>
      </c>
      <c r="E128" s="456">
        <v>91939</v>
      </c>
      <c r="F128" s="116">
        <v>2</v>
      </c>
      <c r="G128" s="117">
        <v>18.66</v>
      </c>
      <c r="H128" s="118">
        <f t="shared" si="11"/>
        <v>23.81</v>
      </c>
      <c r="I128" s="177">
        <f t="shared" si="12"/>
        <v>47.62</v>
      </c>
      <c r="J128" s="187">
        <v>0</v>
      </c>
      <c r="K128" s="188" t="e">
        <f>(J128*#REF!)</f>
        <v>#REF!</v>
      </c>
      <c r="L128" s="141"/>
      <c r="N128" s="150"/>
    </row>
    <row r="129" spans="1:14" s="149" customFormat="1" ht="33.75" customHeight="1">
      <c r="A129" s="12"/>
      <c r="B129" s="157" t="s">
        <v>281</v>
      </c>
      <c r="C129" s="114" t="s">
        <v>144</v>
      </c>
      <c r="D129" s="127" t="s">
        <v>121</v>
      </c>
      <c r="E129" s="456">
        <v>91940</v>
      </c>
      <c r="F129" s="116">
        <v>10</v>
      </c>
      <c r="G129" s="117">
        <v>9.94</v>
      </c>
      <c r="H129" s="118">
        <f t="shared" si="11"/>
        <v>12.68</v>
      </c>
      <c r="I129" s="177">
        <f t="shared" si="12"/>
        <v>126.8</v>
      </c>
      <c r="J129" s="187">
        <v>0</v>
      </c>
      <c r="K129" s="188" t="e">
        <f>(J129*#REF!)</f>
        <v>#REF!</v>
      </c>
      <c r="L129" s="141"/>
      <c r="N129" s="150"/>
    </row>
    <row r="130" spans="1:14" s="149" customFormat="1" ht="33.75" customHeight="1">
      <c r="A130" s="12"/>
      <c r="B130" s="157" t="s">
        <v>282</v>
      </c>
      <c r="C130" s="114" t="s">
        <v>145</v>
      </c>
      <c r="D130" s="127" t="s">
        <v>121</v>
      </c>
      <c r="E130" s="456">
        <v>91941</v>
      </c>
      <c r="F130" s="116">
        <v>3</v>
      </c>
      <c r="G130" s="117">
        <v>6.67</v>
      </c>
      <c r="H130" s="118">
        <f t="shared" si="11"/>
        <v>8.51</v>
      </c>
      <c r="I130" s="177">
        <f t="shared" si="12"/>
        <v>25.53</v>
      </c>
      <c r="J130" s="187">
        <v>0</v>
      </c>
      <c r="K130" s="188" t="e">
        <f>(J130*#REF!)</f>
        <v>#REF!</v>
      </c>
      <c r="L130" s="141"/>
      <c r="N130" s="150"/>
    </row>
    <row r="131" spans="1:14" s="149" customFormat="1" ht="33.75" customHeight="1">
      <c r="A131" s="12"/>
      <c r="B131" s="157" t="s">
        <v>283</v>
      </c>
      <c r="C131" s="114" t="s">
        <v>146</v>
      </c>
      <c r="D131" s="127" t="s">
        <v>121</v>
      </c>
      <c r="E131" s="456">
        <v>91937</v>
      </c>
      <c r="F131" s="116">
        <v>8</v>
      </c>
      <c r="G131" s="117">
        <v>7.54</v>
      </c>
      <c r="H131" s="118">
        <f t="shared" si="11"/>
        <v>9.6199999999999992</v>
      </c>
      <c r="I131" s="177">
        <f t="shared" si="12"/>
        <v>76.959999999999994</v>
      </c>
      <c r="J131" s="187">
        <v>0</v>
      </c>
      <c r="K131" s="188" t="e">
        <f>(J131*#REF!)</f>
        <v>#REF!</v>
      </c>
      <c r="L131" s="141"/>
      <c r="N131" s="150"/>
    </row>
    <row r="132" spans="1:14" s="149" customFormat="1" ht="33.75" customHeight="1">
      <c r="A132" s="12"/>
      <c r="B132" s="157" t="s">
        <v>284</v>
      </c>
      <c r="C132" s="114" t="s">
        <v>147</v>
      </c>
      <c r="D132" s="127" t="s">
        <v>121</v>
      </c>
      <c r="E132" s="456">
        <v>91993</v>
      </c>
      <c r="F132" s="116">
        <v>2</v>
      </c>
      <c r="G132" s="117">
        <v>26.43</v>
      </c>
      <c r="H132" s="118">
        <f t="shared" si="11"/>
        <v>33.729999999999997</v>
      </c>
      <c r="I132" s="177">
        <f t="shared" si="12"/>
        <v>67.459999999999994</v>
      </c>
      <c r="J132" s="187">
        <v>0</v>
      </c>
      <c r="K132" s="188" t="e">
        <f>(J132*#REF!)</f>
        <v>#REF!</v>
      </c>
      <c r="L132" s="141"/>
      <c r="N132" s="150"/>
    </row>
    <row r="133" spans="1:14" s="149" customFormat="1" ht="33.75" customHeight="1">
      <c r="A133" s="12"/>
      <c r="B133" s="157" t="s">
        <v>285</v>
      </c>
      <c r="C133" s="114" t="s">
        <v>148</v>
      </c>
      <c r="D133" s="127" t="s">
        <v>121</v>
      </c>
      <c r="E133" s="456">
        <v>91996</v>
      </c>
      <c r="F133" s="116">
        <v>8</v>
      </c>
      <c r="G133" s="117">
        <v>19.149999999999999</v>
      </c>
      <c r="H133" s="118">
        <f t="shared" si="11"/>
        <v>24.44</v>
      </c>
      <c r="I133" s="177">
        <f t="shared" si="12"/>
        <v>195.52</v>
      </c>
      <c r="J133" s="187">
        <v>0</v>
      </c>
      <c r="K133" s="188" t="e">
        <f>(J133*#REF!)</f>
        <v>#REF!</v>
      </c>
      <c r="L133" s="141"/>
      <c r="N133" s="150"/>
    </row>
    <row r="134" spans="1:14" s="149" customFormat="1" ht="33.75" customHeight="1">
      <c r="A134" s="12"/>
      <c r="B134" s="157" t="s">
        <v>286</v>
      </c>
      <c r="C134" s="114" t="s">
        <v>149</v>
      </c>
      <c r="D134" s="127" t="s">
        <v>121</v>
      </c>
      <c r="E134" s="456">
        <v>92000</v>
      </c>
      <c r="F134" s="116">
        <v>3</v>
      </c>
      <c r="G134" s="117">
        <v>16.809999999999999</v>
      </c>
      <c r="H134" s="118">
        <f t="shared" si="11"/>
        <v>21.45</v>
      </c>
      <c r="I134" s="177">
        <f t="shared" si="12"/>
        <v>64.349999999999994</v>
      </c>
      <c r="J134" s="187">
        <v>0</v>
      </c>
      <c r="K134" s="188" t="e">
        <f>(J134*#REF!)</f>
        <v>#REF!</v>
      </c>
      <c r="L134" s="141"/>
      <c r="N134" s="150"/>
    </row>
    <row r="135" spans="1:14" s="149" customFormat="1" ht="45" customHeight="1">
      <c r="A135" s="12"/>
      <c r="B135" s="157" t="s">
        <v>287</v>
      </c>
      <c r="C135" s="114" t="s">
        <v>150</v>
      </c>
      <c r="D135" s="127" t="s">
        <v>121</v>
      </c>
      <c r="E135" s="456">
        <v>92023</v>
      </c>
      <c r="F135" s="116">
        <v>1</v>
      </c>
      <c r="G135" s="117">
        <v>28.37</v>
      </c>
      <c r="H135" s="118">
        <f t="shared" si="11"/>
        <v>36.200000000000003</v>
      </c>
      <c r="I135" s="177">
        <f t="shared" si="12"/>
        <v>36.200000000000003</v>
      </c>
      <c r="J135" s="187">
        <v>0</v>
      </c>
      <c r="K135" s="188" t="e">
        <f>(J135*#REF!)</f>
        <v>#REF!</v>
      </c>
      <c r="L135" s="141"/>
      <c r="N135" s="150"/>
    </row>
    <row r="136" spans="1:14" s="149" customFormat="1" ht="45" customHeight="1">
      <c r="A136" s="12"/>
      <c r="B136" s="157" t="s">
        <v>288</v>
      </c>
      <c r="C136" s="114" t="s">
        <v>151</v>
      </c>
      <c r="D136" s="127" t="s">
        <v>121</v>
      </c>
      <c r="E136" s="456">
        <v>91959</v>
      </c>
      <c r="F136" s="116">
        <v>1</v>
      </c>
      <c r="G136" s="117">
        <v>25.19</v>
      </c>
      <c r="H136" s="118">
        <f t="shared" si="11"/>
        <v>32.14</v>
      </c>
      <c r="I136" s="177">
        <f t="shared" si="12"/>
        <v>32.14</v>
      </c>
      <c r="J136" s="187">
        <v>0</v>
      </c>
      <c r="K136" s="188" t="e">
        <f>(J136*#REF!)</f>
        <v>#REF!</v>
      </c>
      <c r="L136" s="141"/>
      <c r="N136" s="150"/>
    </row>
    <row r="137" spans="1:14" s="149" customFormat="1" ht="25.5">
      <c r="A137" s="12"/>
      <c r="B137" s="157" t="s">
        <v>289</v>
      </c>
      <c r="C137" s="114" t="s">
        <v>270</v>
      </c>
      <c r="D137" s="127" t="s">
        <v>121</v>
      </c>
      <c r="E137" s="456">
        <v>93654</v>
      </c>
      <c r="F137" s="116">
        <v>2</v>
      </c>
      <c r="G137" s="117">
        <v>8.65</v>
      </c>
      <c r="H137" s="118">
        <f t="shared" si="11"/>
        <v>11.03</v>
      </c>
      <c r="I137" s="177">
        <f t="shared" si="12"/>
        <v>22.06</v>
      </c>
      <c r="J137" s="187">
        <v>0</v>
      </c>
      <c r="K137" s="188" t="e">
        <f>(J137*#REF!)</f>
        <v>#REF!</v>
      </c>
      <c r="L137" s="141"/>
      <c r="N137" s="150"/>
    </row>
    <row r="138" spans="1:14" s="149" customFormat="1" ht="25.5">
      <c r="A138" s="12"/>
      <c r="B138" s="157" t="s">
        <v>290</v>
      </c>
      <c r="C138" s="114" t="s">
        <v>152</v>
      </c>
      <c r="D138" s="127" t="s">
        <v>121</v>
      </c>
      <c r="E138" s="456">
        <v>93659</v>
      </c>
      <c r="F138" s="116">
        <v>1</v>
      </c>
      <c r="G138" s="117">
        <v>16.86</v>
      </c>
      <c r="H138" s="118">
        <f t="shared" si="11"/>
        <v>21.51</v>
      </c>
      <c r="I138" s="177">
        <f t="shared" si="12"/>
        <v>21.51</v>
      </c>
      <c r="J138" s="187">
        <v>0</v>
      </c>
      <c r="K138" s="188" t="e">
        <f>(J138*#REF!)</f>
        <v>#REF!</v>
      </c>
      <c r="L138" s="141"/>
      <c r="N138" s="150"/>
    </row>
    <row r="139" spans="1:14" s="149" customFormat="1" ht="25.5">
      <c r="A139" s="12"/>
      <c r="B139" s="157" t="s">
        <v>291</v>
      </c>
      <c r="C139" s="114" t="s">
        <v>153</v>
      </c>
      <c r="D139" s="127" t="s">
        <v>121</v>
      </c>
      <c r="E139" s="456" t="s">
        <v>154</v>
      </c>
      <c r="F139" s="116">
        <v>2</v>
      </c>
      <c r="G139" s="117">
        <v>48.71</v>
      </c>
      <c r="H139" s="118">
        <f t="shared" si="11"/>
        <v>62.16</v>
      </c>
      <c r="I139" s="177">
        <f t="shared" si="12"/>
        <v>124.32</v>
      </c>
      <c r="J139" s="187">
        <v>0</v>
      </c>
      <c r="K139" s="188" t="e">
        <f>(J139*#REF!)</f>
        <v>#REF!</v>
      </c>
      <c r="L139" s="141"/>
      <c r="N139" s="150"/>
    </row>
    <row r="140" spans="1:14" s="12" customFormat="1" ht="25.5">
      <c r="B140" s="157" t="s">
        <v>292</v>
      </c>
      <c r="C140" s="114" t="s">
        <v>271</v>
      </c>
      <c r="D140" s="127" t="s">
        <v>121</v>
      </c>
      <c r="E140" s="135" t="s">
        <v>303</v>
      </c>
      <c r="F140" s="116">
        <v>3</v>
      </c>
      <c r="G140" s="117">
        <f>COMPOSIÇÕES!G58</f>
        <v>80.72</v>
      </c>
      <c r="H140" s="118">
        <f t="shared" si="11"/>
        <v>103.02</v>
      </c>
      <c r="I140" s="177">
        <f t="shared" si="12"/>
        <v>309.06</v>
      </c>
      <c r="J140" s="190"/>
      <c r="K140" s="191"/>
      <c r="L140" s="110"/>
      <c r="N140" s="13"/>
    </row>
    <row r="141" spans="1:14" s="12" customFormat="1" ht="25.5">
      <c r="B141" s="157" t="s">
        <v>293</v>
      </c>
      <c r="C141" s="114" t="s">
        <v>272</v>
      </c>
      <c r="D141" s="127" t="s">
        <v>121</v>
      </c>
      <c r="E141" s="135" t="s">
        <v>304</v>
      </c>
      <c r="F141" s="116">
        <v>1</v>
      </c>
      <c r="G141" s="117">
        <f>COMPOSIÇÕES!G67</f>
        <v>129.91999999999999</v>
      </c>
      <c r="H141" s="118">
        <f t="shared" si="11"/>
        <v>165.81</v>
      </c>
      <c r="I141" s="177">
        <f t="shared" si="12"/>
        <v>165.81</v>
      </c>
      <c r="J141" s="190">
        <v>0</v>
      </c>
      <c r="K141" s="191" t="e">
        <f>(J141*#REF!)</f>
        <v>#REF!</v>
      </c>
      <c r="L141" s="110"/>
      <c r="N141" s="13"/>
    </row>
    <row r="142" spans="1:14" s="149" customFormat="1" ht="38.25">
      <c r="A142" s="12"/>
      <c r="B142" s="157" t="s">
        <v>294</v>
      </c>
      <c r="C142" s="114" t="s">
        <v>155</v>
      </c>
      <c r="D142" s="127" t="s">
        <v>69</v>
      </c>
      <c r="E142" s="456">
        <v>91844</v>
      </c>
      <c r="F142" s="116">
        <v>82.2</v>
      </c>
      <c r="G142" s="117">
        <v>3.96</v>
      </c>
      <c r="H142" s="118">
        <f t="shared" si="11"/>
        <v>5.05</v>
      </c>
      <c r="I142" s="177">
        <f t="shared" si="12"/>
        <v>415.11</v>
      </c>
      <c r="J142" s="187">
        <v>0</v>
      </c>
      <c r="K142" s="188" t="e">
        <f>(J142*#REF!)</f>
        <v>#REF!</v>
      </c>
      <c r="L142" s="141"/>
      <c r="N142" s="150"/>
    </row>
    <row r="143" spans="1:14" s="149" customFormat="1" ht="38.25">
      <c r="A143" s="12"/>
      <c r="B143" s="157" t="s">
        <v>295</v>
      </c>
      <c r="C143" s="114" t="s">
        <v>273</v>
      </c>
      <c r="D143" s="127" t="s">
        <v>69</v>
      </c>
      <c r="E143" s="456" t="s">
        <v>274</v>
      </c>
      <c r="F143" s="116">
        <v>15.5</v>
      </c>
      <c r="G143" s="117">
        <v>19.86</v>
      </c>
      <c r="H143" s="118">
        <f t="shared" si="11"/>
        <v>25.34</v>
      </c>
      <c r="I143" s="177">
        <f t="shared" si="12"/>
        <v>392.77</v>
      </c>
      <c r="J143" s="187"/>
      <c r="K143" s="188"/>
      <c r="L143" s="141"/>
      <c r="N143" s="150"/>
    </row>
    <row r="144" spans="1:14" s="149" customFormat="1" ht="25.5">
      <c r="A144" s="12"/>
      <c r="B144" s="157" t="s">
        <v>296</v>
      </c>
      <c r="C144" s="114" t="s">
        <v>275</v>
      </c>
      <c r="D144" s="127" t="s">
        <v>121</v>
      </c>
      <c r="E144" s="457">
        <v>97586</v>
      </c>
      <c r="F144" s="116">
        <v>7</v>
      </c>
      <c r="G144" s="117">
        <v>70.17</v>
      </c>
      <c r="H144" s="118">
        <f t="shared" si="11"/>
        <v>89.55</v>
      </c>
      <c r="I144" s="177">
        <f t="shared" si="12"/>
        <v>626.85</v>
      </c>
      <c r="J144" s="187">
        <v>0</v>
      </c>
      <c r="K144" s="188" t="e">
        <f>(J144*#REF!)</f>
        <v>#REF!</v>
      </c>
      <c r="L144" s="141"/>
      <c r="N144" s="150"/>
    </row>
    <row r="145" spans="1:14" s="149" customFormat="1" ht="25.5">
      <c r="A145" s="12"/>
      <c r="B145" s="157" t="s">
        <v>297</v>
      </c>
      <c r="C145" s="114" t="s">
        <v>276</v>
      </c>
      <c r="D145" s="127" t="s">
        <v>121</v>
      </c>
      <c r="E145" s="457">
        <v>97585</v>
      </c>
      <c r="F145" s="116">
        <v>1</v>
      </c>
      <c r="G145" s="117">
        <v>52.9</v>
      </c>
      <c r="H145" s="118">
        <f t="shared" si="11"/>
        <v>67.510000000000005</v>
      </c>
      <c r="I145" s="177">
        <f t="shared" si="12"/>
        <v>67.510000000000005</v>
      </c>
      <c r="J145" s="187"/>
      <c r="K145" s="188"/>
      <c r="L145" s="141"/>
      <c r="N145" s="150"/>
    </row>
    <row r="146" spans="1:14" s="149" customFormat="1" ht="51">
      <c r="A146" s="12"/>
      <c r="B146" s="157" t="s">
        <v>298</v>
      </c>
      <c r="C146" s="114" t="s">
        <v>156</v>
      </c>
      <c r="D146" s="127" t="s">
        <v>121</v>
      </c>
      <c r="E146" s="456">
        <v>83463</v>
      </c>
      <c r="F146" s="116">
        <v>1</v>
      </c>
      <c r="G146" s="117">
        <v>304.79000000000002</v>
      </c>
      <c r="H146" s="118">
        <f t="shared" si="11"/>
        <v>389</v>
      </c>
      <c r="I146" s="177">
        <f t="shared" si="12"/>
        <v>389</v>
      </c>
      <c r="J146" s="187">
        <v>0</v>
      </c>
      <c r="K146" s="188" t="e">
        <f>(J146*#REF!)</f>
        <v>#REF!</v>
      </c>
      <c r="L146" s="141"/>
      <c r="N146" s="150"/>
    </row>
    <row r="147" spans="1:14" s="1" customFormat="1" ht="12.75" customHeight="1">
      <c r="A147" s="478"/>
      <c r="B147" s="302" t="s">
        <v>6</v>
      </c>
      <c r="C147" s="303"/>
      <c r="D147" s="303"/>
      <c r="E147" s="303"/>
      <c r="F147" s="303"/>
      <c r="G147" s="304">
        <f>(100%)</f>
        <v>1</v>
      </c>
      <c r="H147" s="304"/>
      <c r="I147" s="176">
        <f>SUM(I125:I146)</f>
        <v>5215.1500000000015</v>
      </c>
      <c r="J147" s="185" t="e">
        <f>(K147/#REF!)</f>
        <v>#REF!</v>
      </c>
      <c r="K147" s="186" t="e">
        <f>SUM(K125:K146)</f>
        <v>#REF!</v>
      </c>
      <c r="L147" s="92"/>
      <c r="N147" s="6"/>
    </row>
    <row r="148" spans="1:14">
      <c r="B148" s="155">
        <v>15</v>
      </c>
      <c r="C148" s="64" t="s">
        <v>60</v>
      </c>
      <c r="D148" s="250"/>
      <c r="E148" s="250"/>
      <c r="F148" s="250"/>
      <c r="G148" s="250"/>
      <c r="H148" s="250"/>
      <c r="I148" s="251"/>
      <c r="J148" s="98"/>
      <c r="K148" s="98"/>
      <c r="L148" s="94"/>
    </row>
    <row r="149" spans="1:14" s="149" customFormat="1">
      <c r="A149" s="12"/>
      <c r="B149" s="157" t="s">
        <v>299</v>
      </c>
      <c r="C149" s="114" t="s">
        <v>39</v>
      </c>
      <c r="D149" s="127" t="s">
        <v>157</v>
      </c>
      <c r="E149" s="456">
        <v>9537</v>
      </c>
      <c r="F149" s="116">
        <v>65.83</v>
      </c>
      <c r="G149" s="117">
        <v>2.75</v>
      </c>
      <c r="H149" s="118">
        <f>TRUNC(G149*$H$15+G149,2)</f>
        <v>3.5</v>
      </c>
      <c r="I149" s="177">
        <f>TRUNC(H149*F149,2)</f>
        <v>230.4</v>
      </c>
      <c r="J149" s="187">
        <v>0</v>
      </c>
      <c r="K149" s="188" t="e">
        <f>(J149*#REF!)</f>
        <v>#REF!</v>
      </c>
      <c r="L149" s="141"/>
      <c r="N149" s="150"/>
    </row>
    <row r="150" spans="1:14" s="12" customFormat="1" ht="63.75">
      <c r="B150" s="157" t="s">
        <v>300</v>
      </c>
      <c r="C150" s="114" t="s">
        <v>102</v>
      </c>
      <c r="D150" s="115" t="s">
        <v>70</v>
      </c>
      <c r="E150" s="474" t="s">
        <v>305</v>
      </c>
      <c r="F150" s="116">
        <v>24.09</v>
      </c>
      <c r="G150" s="117">
        <f>TRUNC(COMPOSIÇÕES!G80/24.09,2)</f>
        <v>564.32000000000005</v>
      </c>
      <c r="H150" s="118">
        <f>TRUNC(G150*$H$15+G150,2)</f>
        <v>720.24</v>
      </c>
      <c r="I150" s="177">
        <f>TRUNC(H150*F150,2)</f>
        <v>17350.580000000002</v>
      </c>
      <c r="J150" s="183">
        <v>0</v>
      </c>
      <c r="K150" s="184" t="e">
        <f>(J150*#REF!)</f>
        <v>#REF!</v>
      </c>
      <c r="L150" s="91"/>
      <c r="N150" s="13"/>
    </row>
    <row r="151" spans="1:14" s="1" customFormat="1" ht="12.75" customHeight="1" thickBot="1">
      <c r="A151" s="478"/>
      <c r="B151" s="244" t="s">
        <v>6</v>
      </c>
      <c r="C151" s="245"/>
      <c r="D151" s="245"/>
      <c r="E151" s="245"/>
      <c r="F151" s="245"/>
      <c r="G151" s="246">
        <f>(100%)</f>
        <v>1</v>
      </c>
      <c r="H151" s="247"/>
      <c r="I151" s="178">
        <f>SUM(I149:I150)+0.01</f>
        <v>17580.990000000002</v>
      </c>
      <c r="J151" s="185" t="e">
        <f>(K151/#REF!)</f>
        <v>#REF!</v>
      </c>
      <c r="K151" s="186" t="e">
        <f>SUM(K149:K149)</f>
        <v>#REF!</v>
      </c>
      <c r="L151" s="92"/>
      <c r="N151" s="6"/>
    </row>
    <row r="152" spans="1:14" ht="15.75" customHeight="1" thickBot="1">
      <c r="B152" s="252" t="s">
        <v>158</v>
      </c>
      <c r="C152" s="253"/>
      <c r="D152" s="253"/>
      <c r="E152" s="253"/>
      <c r="F152" s="253"/>
      <c r="G152" s="253"/>
      <c r="H152" s="253"/>
      <c r="I152" s="179">
        <f>SUM(I151,I17,I22,I27,I37,I52,I55,I61,I69,I78,I82,I87,I94,I123,I147)</f>
        <v>144137.27999999997</v>
      </c>
      <c r="J152" s="192"/>
      <c r="K152" s="192" t="s">
        <v>43</v>
      </c>
      <c r="L152" s="95"/>
    </row>
    <row r="153" spans="1:14" ht="32.25" customHeight="1">
      <c r="B153" s="241" t="s">
        <v>388</v>
      </c>
      <c r="C153" s="242"/>
      <c r="D153" s="242"/>
      <c r="E153" s="242"/>
      <c r="F153" s="242"/>
      <c r="G153" s="242"/>
      <c r="H153" s="242"/>
      <c r="I153" s="243"/>
      <c r="J153" s="193"/>
      <c r="K153" s="193"/>
      <c r="L153" s="96"/>
    </row>
    <row r="154" spans="1:14">
      <c r="B154" s="159" t="s">
        <v>184</v>
      </c>
      <c r="C154" s="151"/>
      <c r="D154" s="152"/>
      <c r="E154" s="153"/>
      <c r="F154" s="153"/>
      <c r="G154" s="154"/>
      <c r="H154" s="151"/>
      <c r="I154" s="160"/>
      <c r="J154" s="151"/>
      <c r="K154" s="151"/>
      <c r="L154" s="151"/>
    </row>
    <row r="155" spans="1:14" ht="13.5" thickBot="1">
      <c r="B155" s="161"/>
      <c r="C155" s="162" t="s">
        <v>183</v>
      </c>
      <c r="D155" s="163"/>
      <c r="E155" s="164"/>
      <c r="F155" s="164"/>
      <c r="G155" s="165"/>
      <c r="H155" s="166"/>
      <c r="I155" s="167"/>
      <c r="J155" s="151"/>
      <c r="K155" s="151"/>
      <c r="L155" s="151"/>
    </row>
    <row r="156" spans="1:14" ht="13.5" thickTop="1">
      <c r="B156" s="12"/>
      <c r="C156" s="12"/>
      <c r="D156" s="475"/>
      <c r="E156" s="476"/>
      <c r="F156" s="476"/>
      <c r="G156" s="477"/>
      <c r="H156" s="12"/>
      <c r="I156" s="12"/>
      <c r="J156" s="11"/>
      <c r="K156" s="11"/>
      <c r="L156" s="11"/>
    </row>
    <row r="157" spans="1:14">
      <c r="B157" s="12"/>
      <c r="C157" s="12"/>
      <c r="D157" s="475"/>
      <c r="E157" s="476"/>
      <c r="F157" s="476"/>
      <c r="G157" s="477"/>
      <c r="H157" s="12"/>
      <c r="I157" s="12"/>
      <c r="J157" s="11"/>
      <c r="K157" s="11"/>
      <c r="L157" s="11"/>
    </row>
    <row r="158" spans="1:14">
      <c r="B158" s="12"/>
      <c r="C158" s="12"/>
      <c r="D158" s="475"/>
      <c r="E158" s="476"/>
      <c r="F158" s="476"/>
      <c r="G158" s="477"/>
      <c r="H158" s="12"/>
      <c r="I158" s="12"/>
      <c r="J158" s="11"/>
      <c r="K158" s="11"/>
      <c r="L158" s="11"/>
    </row>
    <row r="159" spans="1:14">
      <c r="B159" s="12"/>
      <c r="C159" s="12"/>
      <c r="D159" s="475"/>
      <c r="E159" s="476"/>
      <c r="F159" s="476"/>
      <c r="G159" s="477"/>
      <c r="H159" s="12"/>
      <c r="I159" s="12"/>
      <c r="J159" s="11"/>
      <c r="K159" s="11"/>
      <c r="L159" s="11"/>
    </row>
    <row r="160" spans="1:14">
      <c r="B160" s="12"/>
      <c r="C160" s="12"/>
      <c r="D160" s="475"/>
      <c r="E160" s="476"/>
      <c r="F160" s="476"/>
      <c r="G160" s="477"/>
      <c r="H160" s="12"/>
      <c r="I160" s="12"/>
      <c r="J160" s="11"/>
      <c r="K160" s="11"/>
      <c r="L160" s="11"/>
    </row>
    <row r="161" spans="2:12">
      <c r="B161" s="12"/>
      <c r="C161" s="12"/>
      <c r="D161" s="475"/>
      <c r="E161" s="476"/>
      <c r="F161" s="476"/>
      <c r="G161" s="477"/>
      <c r="H161" s="12"/>
      <c r="I161" s="12"/>
      <c r="J161" s="11"/>
      <c r="K161" s="11"/>
      <c r="L161" s="11"/>
    </row>
    <row r="162" spans="2:12">
      <c r="B162" s="12"/>
      <c r="C162" s="12"/>
      <c r="D162" s="475"/>
      <c r="E162" s="476"/>
      <c r="F162" s="476"/>
      <c r="G162" s="477"/>
      <c r="H162" s="12"/>
      <c r="I162" s="12"/>
      <c r="J162" s="11"/>
      <c r="K162" s="11"/>
      <c r="L162" s="11"/>
    </row>
    <row r="163" spans="2:12">
      <c r="B163" s="12"/>
      <c r="C163" s="12"/>
      <c r="D163" s="475"/>
      <c r="E163" s="476"/>
      <c r="F163" s="476"/>
      <c r="G163" s="477"/>
      <c r="H163" s="12"/>
      <c r="I163" s="12"/>
      <c r="J163" s="11"/>
      <c r="K163" s="11"/>
      <c r="L163" s="11"/>
    </row>
    <row r="164" spans="2:12">
      <c r="B164" s="12"/>
      <c r="C164" s="12"/>
      <c r="D164" s="475"/>
      <c r="E164" s="476"/>
      <c r="F164" s="476"/>
      <c r="G164" s="477"/>
      <c r="H164" s="12"/>
      <c r="I164" s="12"/>
      <c r="J164" s="11"/>
      <c r="K164" s="11"/>
      <c r="L164" s="11"/>
    </row>
    <row r="165" spans="2:12">
      <c r="B165" s="12"/>
      <c r="C165" s="12"/>
      <c r="D165" s="475"/>
      <c r="E165" s="476"/>
      <c r="F165" s="476"/>
      <c r="G165" s="477"/>
      <c r="H165" s="12"/>
      <c r="I165" s="12"/>
    </row>
    <row r="166" spans="2:12">
      <c r="B166" s="12"/>
      <c r="C166" s="12"/>
      <c r="D166" s="475"/>
      <c r="E166" s="476"/>
      <c r="F166" s="476"/>
      <c r="G166" s="477"/>
      <c r="H166" s="12"/>
      <c r="I166" s="12"/>
    </row>
    <row r="167" spans="2:12">
      <c r="B167" s="12"/>
      <c r="C167" s="12"/>
      <c r="D167" s="475"/>
      <c r="E167" s="476"/>
      <c r="F167" s="476"/>
      <c r="G167" s="477"/>
      <c r="H167" s="12"/>
      <c r="I167" s="12"/>
    </row>
    <row r="168" spans="2:12">
      <c r="B168" s="12"/>
      <c r="C168" s="12"/>
      <c r="D168" s="475"/>
      <c r="E168" s="476"/>
      <c r="F168" s="476"/>
      <c r="G168" s="477"/>
      <c r="H168" s="12"/>
      <c r="I168" s="12"/>
    </row>
  </sheetData>
  <mergeCells count="76">
    <mergeCell ref="B147:F147"/>
    <mergeCell ref="G147:H147"/>
    <mergeCell ref="D70:I70"/>
    <mergeCell ref="F12:F14"/>
    <mergeCell ref="D12:D14"/>
    <mergeCell ref="G61:H61"/>
    <mergeCell ref="B17:F17"/>
    <mergeCell ref="G17:H17"/>
    <mergeCell ref="G87:H87"/>
    <mergeCell ref="G78:H78"/>
    <mergeCell ref="G82:H82"/>
    <mergeCell ref="B82:F82"/>
    <mergeCell ref="B69:F69"/>
    <mergeCell ref="G55:H55"/>
    <mergeCell ref="D53:I53"/>
    <mergeCell ref="B94:F94"/>
    <mergeCell ref="N18:P18"/>
    <mergeCell ref="N19:P19"/>
    <mergeCell ref="J18:K18"/>
    <mergeCell ref="J8:K8"/>
    <mergeCell ref="B9:I9"/>
    <mergeCell ref="B8:I8"/>
    <mergeCell ref="J10:K10"/>
    <mergeCell ref="B10:G10"/>
    <mergeCell ref="H10:I10"/>
    <mergeCell ref="E12:E14"/>
    <mergeCell ref="N15:P15"/>
    <mergeCell ref="N16:P16"/>
    <mergeCell ref="N20:P20"/>
    <mergeCell ref="D56:I56"/>
    <mergeCell ref="G27:H27"/>
    <mergeCell ref="B55:F55"/>
    <mergeCell ref="G22:H22"/>
    <mergeCell ref="B22:F22"/>
    <mergeCell ref="B27:F27"/>
    <mergeCell ref="D28:I28"/>
    <mergeCell ref="G37:H37"/>
    <mergeCell ref="B37:F37"/>
    <mergeCell ref="D38:I38"/>
    <mergeCell ref="G52:H52"/>
    <mergeCell ref="B52:F52"/>
    <mergeCell ref="J12:K12"/>
    <mergeCell ref="C12:C14"/>
    <mergeCell ref="J13:K13"/>
    <mergeCell ref="J15:K15"/>
    <mergeCell ref="B3:I3"/>
    <mergeCell ref="B7:G7"/>
    <mergeCell ref="H7:I7"/>
    <mergeCell ref="J7:K7"/>
    <mergeCell ref="B2:I2"/>
    <mergeCell ref="D23:I23"/>
    <mergeCell ref="B11:I11"/>
    <mergeCell ref="B12:B14"/>
    <mergeCell ref="G12:I13"/>
    <mergeCell ref="B87:F87"/>
    <mergeCell ref="D79:I79"/>
    <mergeCell ref="G94:H94"/>
    <mergeCell ref="B61:F61"/>
    <mergeCell ref="G69:H69"/>
    <mergeCell ref="D62:I62"/>
    <mergeCell ref="B5:I5"/>
    <mergeCell ref="B6:I6"/>
    <mergeCell ref="B153:I153"/>
    <mergeCell ref="B151:F151"/>
    <mergeCell ref="G151:H151"/>
    <mergeCell ref="B46:C46"/>
    <mergeCell ref="B120:C120"/>
    <mergeCell ref="D148:I148"/>
    <mergeCell ref="D95:I95"/>
    <mergeCell ref="G123:H123"/>
    <mergeCell ref="B123:F123"/>
    <mergeCell ref="D124:I124"/>
    <mergeCell ref="B152:H152"/>
    <mergeCell ref="B109:C109"/>
    <mergeCell ref="B78:F78"/>
    <mergeCell ref="D88:I88"/>
  </mergeCells>
  <phoneticPr fontId="0" type="noConversion"/>
  <printOptions horizontalCentered="1"/>
  <pageMargins left="0" right="0" top="0.98425196850393704" bottom="0.39370078740157483" header="0.27559055118110237" footer="0.31496062992125984"/>
  <pageSetup paperSize="9" scale="75" orientation="portrait" r:id="rId1"/>
  <headerFooter alignWithMargins="0">
    <oddFooter>&amp;LSanto Antonio do Leste&amp;C14 de Agosto de 2018&amp;RMato Grosso, Brasil</oddFooter>
  </headerFooter>
  <rowBreaks count="3" manualBreakCount="3">
    <brk id="65" min="1" max="8" man="1"/>
    <brk id="92" min="1" max="8" man="1"/>
    <brk id="116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I63"/>
  <sheetViews>
    <sheetView showGridLines="0" workbookViewId="0">
      <selection activeCell="I43" sqref="I43"/>
    </sheetView>
  </sheetViews>
  <sheetFormatPr defaultColWidth="11.42578125" defaultRowHeight="12.75"/>
  <cols>
    <col min="1" max="1" width="2.7109375" style="10" customWidth="1"/>
    <col min="2" max="2" width="8.28515625" style="10" customWidth="1"/>
    <col min="3" max="3" width="48.5703125" style="10" customWidth="1"/>
    <col min="4" max="4" width="8" style="10" customWidth="1"/>
    <col min="5" max="5" width="14" style="10" customWidth="1"/>
    <col min="6" max="6" width="11" style="10" customWidth="1"/>
    <col min="7" max="7" width="10.28515625" style="10" customWidth="1"/>
    <col min="8" max="8" width="10" style="10" customWidth="1"/>
    <col min="9" max="9" width="9.5703125" style="10" customWidth="1"/>
    <col min="10" max="16384" width="11.42578125" style="10"/>
  </cols>
  <sheetData>
    <row r="1" spans="2:9" ht="13.5" thickBot="1">
      <c r="B1" s="20"/>
      <c r="C1" s="20"/>
      <c r="D1" s="20"/>
      <c r="E1" s="20"/>
      <c r="F1" s="20"/>
      <c r="G1" s="20"/>
      <c r="H1" s="20"/>
      <c r="I1" s="20"/>
    </row>
    <row r="2" spans="2:9">
      <c r="B2" s="319" t="s">
        <v>7</v>
      </c>
      <c r="C2" s="320"/>
      <c r="D2" s="320"/>
      <c r="E2" s="320"/>
      <c r="F2" s="320"/>
      <c r="G2" s="320"/>
      <c r="H2" s="320"/>
      <c r="I2" s="321"/>
    </row>
    <row r="3" spans="2:9">
      <c r="B3" s="322"/>
      <c r="C3" s="323"/>
      <c r="D3" s="323"/>
      <c r="E3" s="323"/>
      <c r="F3" s="323"/>
      <c r="G3" s="323"/>
      <c r="H3" s="323"/>
      <c r="I3" s="324"/>
    </row>
    <row r="4" spans="2:9" ht="17.100000000000001" customHeight="1">
      <c r="B4" s="326" t="str">
        <f>'planilha de orçamento'!B5:K5</f>
        <v xml:space="preserve">            Execução de Obras de Construção de um Laboratório de Ciências</v>
      </c>
      <c r="C4" s="327"/>
      <c r="D4" s="327"/>
      <c r="E4" s="327"/>
      <c r="F4" s="327"/>
      <c r="G4" s="327"/>
      <c r="H4" s="327"/>
      <c r="I4" s="328"/>
    </row>
    <row r="5" spans="2:9" ht="29.25" customHeight="1">
      <c r="B5" s="329" t="str">
        <f>'planilha de orçamento'!B6:K6</f>
        <v xml:space="preserve"> Local da Obra:Rua Domingos Azzolini, Quadra 25, Centro .                                                                                                                                           Coordenadas geograficas da Obra:Latitude 14°47'55.88"S - Longitude 53°36'55.48"O</v>
      </c>
      <c r="C5" s="330"/>
      <c r="D5" s="330"/>
      <c r="E5" s="330"/>
      <c r="F5" s="330"/>
      <c r="G5" s="330"/>
      <c r="H5" s="330"/>
      <c r="I5" s="331"/>
    </row>
    <row r="6" spans="2:9" ht="17.100000000000001" customHeight="1" thickBot="1">
      <c r="B6" s="226" t="str">
        <f>'planilha de orçamento'!H10</f>
        <v>DATA:14/08/18</v>
      </c>
      <c r="C6" s="227"/>
      <c r="D6" s="22"/>
      <c r="E6" s="22"/>
      <c r="F6" s="23"/>
      <c r="G6" s="24"/>
      <c r="H6" s="332" t="s">
        <v>141</v>
      </c>
      <c r="I6" s="333"/>
    </row>
    <row r="7" spans="2:9" ht="17.100000000000001" customHeight="1">
      <c r="B7" s="25"/>
      <c r="C7" s="26"/>
      <c r="D7" s="26"/>
      <c r="E7" s="26"/>
      <c r="F7" s="26"/>
      <c r="G7" s="26"/>
      <c r="H7" s="26"/>
      <c r="I7" s="26"/>
    </row>
    <row r="8" spans="2:9">
      <c r="B8" s="219" t="s">
        <v>0</v>
      </c>
      <c r="C8" s="219" t="s">
        <v>8</v>
      </c>
      <c r="D8" s="219" t="s">
        <v>9</v>
      </c>
      <c r="E8" s="27" t="s">
        <v>10</v>
      </c>
      <c r="F8" s="219" t="s">
        <v>25</v>
      </c>
      <c r="G8" s="219" t="s">
        <v>26</v>
      </c>
      <c r="H8" s="219" t="s">
        <v>27</v>
      </c>
      <c r="I8" s="219" t="s">
        <v>28</v>
      </c>
    </row>
    <row r="9" spans="2:9">
      <c r="B9" s="325"/>
      <c r="C9" s="325"/>
      <c r="D9" s="325"/>
      <c r="E9" s="27" t="s">
        <v>11</v>
      </c>
      <c r="F9" s="325"/>
      <c r="G9" s="325"/>
      <c r="H9" s="325"/>
      <c r="I9" s="325"/>
    </row>
    <row r="10" spans="2:9">
      <c r="B10" s="205">
        <v>1</v>
      </c>
      <c r="C10" s="210" t="s">
        <v>185</v>
      </c>
      <c r="D10" s="196">
        <f>E10/$E$56+0.00001</f>
        <v>9.230909153273878E-2</v>
      </c>
      <c r="E10" s="314">
        <f>'planilha de orçamento'!I17</f>
        <v>13303.74</v>
      </c>
      <c r="F10" s="28"/>
      <c r="G10" s="28"/>
      <c r="H10" s="28"/>
      <c r="I10" s="28"/>
    </row>
    <row r="11" spans="2:9">
      <c r="B11" s="194"/>
      <c r="C11" s="195"/>
      <c r="D11" s="196"/>
      <c r="E11" s="221"/>
      <c r="F11" s="32">
        <v>0.25</v>
      </c>
      <c r="G11" s="32">
        <v>0.25</v>
      </c>
      <c r="H11" s="32">
        <v>0.25</v>
      </c>
      <c r="I11" s="33">
        <v>0.25</v>
      </c>
    </row>
    <row r="12" spans="2:9">
      <c r="B12" s="206"/>
      <c r="C12" s="211"/>
      <c r="D12" s="196"/>
      <c r="E12" s="222"/>
      <c r="F12" s="36">
        <f>(F11*E10)</f>
        <v>3325.9349999999999</v>
      </c>
      <c r="G12" s="36">
        <f>(G11*E10)</f>
        <v>3325.9349999999999</v>
      </c>
      <c r="H12" s="36">
        <f>(H11*E10)</f>
        <v>3325.9349999999999</v>
      </c>
      <c r="I12" s="37">
        <f>(I11*E10)</f>
        <v>3325.9349999999999</v>
      </c>
    </row>
    <row r="13" spans="2:9">
      <c r="B13" s="205">
        <v>2</v>
      </c>
      <c r="C13" s="210" t="s">
        <v>12</v>
      </c>
      <c r="D13" s="196">
        <f>E13/$E$56+0.00001</f>
        <v>3.4450083786789931E-2</v>
      </c>
      <c r="E13" s="314">
        <f>'planilha de orçamento'!I22</f>
        <v>4964.1000000000004</v>
      </c>
      <c r="F13" s="28"/>
      <c r="G13" s="134"/>
      <c r="H13" s="29"/>
      <c r="I13" s="29"/>
    </row>
    <row r="14" spans="2:9">
      <c r="B14" s="194"/>
      <c r="C14" s="195"/>
      <c r="D14" s="196"/>
      <c r="E14" s="221"/>
      <c r="F14" s="32">
        <v>1</v>
      </c>
      <c r="G14" s="32"/>
      <c r="H14" s="33"/>
      <c r="I14" s="33"/>
    </row>
    <row r="15" spans="2:9">
      <c r="B15" s="206"/>
      <c r="C15" s="211"/>
      <c r="D15" s="196"/>
      <c r="E15" s="222"/>
      <c r="F15" s="36">
        <f>(F14*E13)</f>
        <v>4964.1000000000004</v>
      </c>
      <c r="G15" s="37"/>
      <c r="H15" s="38"/>
      <c r="I15" s="37"/>
    </row>
    <row r="16" spans="2:9">
      <c r="B16" s="205">
        <v>3</v>
      </c>
      <c r="C16" s="210" t="s">
        <v>13</v>
      </c>
      <c r="D16" s="196">
        <f>E16/$E$56</f>
        <v>1.6844219621738387E-2</v>
      </c>
      <c r="E16" s="314">
        <f>'planilha de orçamento'!I27</f>
        <v>2427.88</v>
      </c>
      <c r="F16" s="41"/>
      <c r="G16" s="42"/>
      <c r="H16" s="43"/>
      <c r="I16" s="44"/>
    </row>
    <row r="17" spans="2:9">
      <c r="B17" s="194"/>
      <c r="C17" s="195"/>
      <c r="D17" s="196"/>
      <c r="E17" s="221"/>
      <c r="F17" s="32">
        <v>1</v>
      </c>
      <c r="G17" s="32"/>
      <c r="H17" s="33"/>
      <c r="I17" s="33"/>
    </row>
    <row r="18" spans="2:9">
      <c r="B18" s="206"/>
      <c r="C18" s="211"/>
      <c r="D18" s="196"/>
      <c r="E18" s="222"/>
      <c r="F18" s="36">
        <f>F17*E16</f>
        <v>2427.88</v>
      </c>
      <c r="G18" s="36"/>
      <c r="H18" s="38"/>
      <c r="I18" s="37"/>
    </row>
    <row r="19" spans="2:9">
      <c r="B19" s="205">
        <v>4</v>
      </c>
      <c r="C19" s="210" t="s">
        <v>131</v>
      </c>
      <c r="D19" s="196">
        <f>E19/$E$56</f>
        <v>6.510078447435666E-2</v>
      </c>
      <c r="E19" s="314">
        <f>'planilha de orçamento'!I37</f>
        <v>9383.4499999999989</v>
      </c>
      <c r="F19" s="45"/>
      <c r="G19" s="308"/>
      <c r="H19" s="311"/>
      <c r="I19" s="44"/>
    </row>
    <row r="20" spans="2:9">
      <c r="B20" s="194"/>
      <c r="C20" s="195"/>
      <c r="D20" s="196"/>
      <c r="E20" s="221"/>
      <c r="F20" s="32">
        <v>1</v>
      </c>
      <c r="G20" s="309"/>
      <c r="H20" s="312"/>
      <c r="I20" s="33"/>
    </row>
    <row r="21" spans="2:9">
      <c r="B21" s="206"/>
      <c r="C21" s="211"/>
      <c r="D21" s="196"/>
      <c r="E21" s="222"/>
      <c r="F21" s="36">
        <f>F20*E19</f>
        <v>9383.4499999999989</v>
      </c>
      <c r="G21" s="310"/>
      <c r="H21" s="313"/>
      <c r="I21" s="37"/>
    </row>
    <row r="22" spans="2:9">
      <c r="B22" s="205">
        <v>5</v>
      </c>
      <c r="C22" s="210" t="s">
        <v>29</v>
      </c>
      <c r="D22" s="196">
        <f>E22/$E$56</f>
        <v>0.17782644434527972</v>
      </c>
      <c r="E22" s="314">
        <f>'planilha de orçamento'!I52</f>
        <v>25631.42</v>
      </c>
      <c r="F22" s="45"/>
      <c r="G22" s="308"/>
      <c r="H22" s="311"/>
      <c r="I22" s="44"/>
    </row>
    <row r="23" spans="2:9">
      <c r="B23" s="194"/>
      <c r="C23" s="195"/>
      <c r="D23" s="196"/>
      <c r="E23" s="221"/>
      <c r="F23" s="32">
        <v>1</v>
      </c>
      <c r="G23" s="309"/>
      <c r="H23" s="312"/>
      <c r="I23" s="33"/>
    </row>
    <row r="24" spans="2:9">
      <c r="B24" s="206"/>
      <c r="C24" s="211"/>
      <c r="D24" s="196"/>
      <c r="E24" s="222"/>
      <c r="F24" s="36">
        <f>F23*E22</f>
        <v>25631.42</v>
      </c>
      <c r="G24" s="310"/>
      <c r="H24" s="313"/>
      <c r="I24" s="37"/>
    </row>
    <row r="25" spans="2:9">
      <c r="B25" s="205">
        <v>6</v>
      </c>
      <c r="C25" s="210" t="s">
        <v>132</v>
      </c>
      <c r="D25" s="196">
        <f>E25/$E$56</f>
        <v>2.2726944757109333E-3</v>
      </c>
      <c r="E25" s="221">
        <f>'planilha de orçamento'!I55</f>
        <v>327.58</v>
      </c>
      <c r="F25" s="45"/>
      <c r="G25" s="308"/>
      <c r="H25" s="311"/>
      <c r="I25" s="44"/>
    </row>
    <row r="26" spans="2:9">
      <c r="B26" s="194"/>
      <c r="C26" s="195"/>
      <c r="D26" s="196"/>
      <c r="E26" s="221"/>
      <c r="F26" s="32">
        <v>1</v>
      </c>
      <c r="G26" s="309"/>
      <c r="H26" s="312"/>
      <c r="I26" s="33"/>
    </row>
    <row r="27" spans="2:9">
      <c r="B27" s="206"/>
      <c r="C27" s="211"/>
      <c r="D27" s="196"/>
      <c r="E27" s="222"/>
      <c r="F27" s="36">
        <f>F26*E25</f>
        <v>327.58</v>
      </c>
      <c r="G27" s="310"/>
      <c r="H27" s="313"/>
      <c r="I27" s="37"/>
    </row>
    <row r="28" spans="2:9">
      <c r="B28" s="205">
        <v>7</v>
      </c>
      <c r="C28" s="210" t="s">
        <v>133</v>
      </c>
      <c r="D28" s="196">
        <f>E28/$E$56</f>
        <v>6.6060494550750498E-2</v>
      </c>
      <c r="E28" s="314">
        <f>'planilha de orçamento'!I61</f>
        <v>9521.7799999999988</v>
      </c>
      <c r="F28" s="45"/>
      <c r="G28" s="308"/>
      <c r="H28" s="311"/>
      <c r="I28" s="44"/>
    </row>
    <row r="29" spans="2:9">
      <c r="B29" s="194"/>
      <c r="C29" s="195"/>
      <c r="D29" s="196"/>
      <c r="E29" s="221"/>
      <c r="F29" s="32">
        <v>1</v>
      </c>
      <c r="G29" s="309"/>
      <c r="H29" s="312"/>
      <c r="I29" s="33"/>
    </row>
    <row r="30" spans="2:9">
      <c r="B30" s="206"/>
      <c r="C30" s="211"/>
      <c r="D30" s="196"/>
      <c r="E30" s="222"/>
      <c r="F30" s="36">
        <f>F29*E28</f>
        <v>9521.7799999999988</v>
      </c>
      <c r="G30" s="310"/>
      <c r="H30" s="313"/>
      <c r="I30" s="37"/>
    </row>
    <row r="31" spans="2:9">
      <c r="B31" s="205">
        <v>8</v>
      </c>
      <c r="C31" s="207" t="s">
        <v>14</v>
      </c>
      <c r="D31" s="196">
        <f>E31/$E$56</f>
        <v>9.3029090045267979E-2</v>
      </c>
      <c r="E31" s="314">
        <f>'planilha de orçamento'!I69</f>
        <v>13408.960000000003</v>
      </c>
      <c r="F31" s="46"/>
      <c r="G31" s="49"/>
      <c r="H31" s="50"/>
      <c r="I31" s="51"/>
    </row>
    <row r="32" spans="2:9">
      <c r="B32" s="194"/>
      <c r="C32" s="208"/>
      <c r="D32" s="196"/>
      <c r="E32" s="221"/>
      <c r="F32" s="33">
        <v>1</v>
      </c>
      <c r="G32" s="33"/>
      <c r="H32" s="48"/>
      <c r="I32" s="48"/>
    </row>
    <row r="33" spans="2:9">
      <c r="B33" s="206"/>
      <c r="C33" s="209"/>
      <c r="D33" s="196"/>
      <c r="E33" s="222"/>
      <c r="F33" s="37">
        <f>F32*E31</f>
        <v>13408.960000000003</v>
      </c>
      <c r="G33" s="37"/>
      <c r="H33" s="52"/>
      <c r="I33" s="52"/>
    </row>
    <row r="34" spans="2:9">
      <c r="B34" s="205">
        <v>9</v>
      </c>
      <c r="C34" s="210" t="s">
        <v>15</v>
      </c>
      <c r="D34" s="196">
        <f>E34/$E$56</f>
        <v>0.10563679292407906</v>
      </c>
      <c r="E34" s="314">
        <f>'planilha de orçamento'!I78</f>
        <v>15226.2</v>
      </c>
      <c r="F34" s="47"/>
      <c r="G34" s="46"/>
      <c r="H34" s="311"/>
      <c r="I34" s="49"/>
    </row>
    <row r="35" spans="2:9">
      <c r="B35" s="194"/>
      <c r="C35" s="195"/>
      <c r="D35" s="196"/>
      <c r="E35" s="221"/>
      <c r="F35" s="33"/>
      <c r="G35" s="47">
        <v>1</v>
      </c>
      <c r="H35" s="312"/>
      <c r="I35" s="33"/>
    </row>
    <row r="36" spans="2:9">
      <c r="B36" s="206"/>
      <c r="C36" s="195"/>
      <c r="D36" s="196"/>
      <c r="E36" s="222"/>
      <c r="F36" s="128"/>
      <c r="G36" s="37">
        <f>G35*E34</f>
        <v>15226.2</v>
      </c>
      <c r="H36" s="313"/>
      <c r="I36" s="37"/>
    </row>
    <row r="37" spans="2:9">
      <c r="B37" s="205">
        <v>10</v>
      </c>
      <c r="C37" s="210" t="s">
        <v>136</v>
      </c>
      <c r="D37" s="196">
        <f>E37/$E$56</f>
        <v>4.6275328631149415E-2</v>
      </c>
      <c r="E37" s="314">
        <f>'planilha de orçamento'!I82</f>
        <v>6670</v>
      </c>
      <c r="F37" s="32"/>
      <c r="G37" s="46"/>
      <c r="H37" s="311"/>
      <c r="I37" s="49"/>
    </row>
    <row r="38" spans="2:9">
      <c r="B38" s="194"/>
      <c r="C38" s="195"/>
      <c r="D38" s="196"/>
      <c r="E38" s="221"/>
      <c r="F38" s="33"/>
      <c r="G38" s="47">
        <v>1</v>
      </c>
      <c r="H38" s="312"/>
      <c r="I38" s="33"/>
    </row>
    <row r="39" spans="2:9">
      <c r="B39" s="206"/>
      <c r="C39" s="195"/>
      <c r="D39" s="196"/>
      <c r="E39" s="222"/>
      <c r="F39" s="33"/>
      <c r="G39" s="37">
        <f>G38*E37</f>
        <v>6670</v>
      </c>
      <c r="H39" s="313"/>
      <c r="I39" s="37"/>
    </row>
    <row r="40" spans="2:9">
      <c r="B40" s="205">
        <v>11</v>
      </c>
      <c r="C40" s="207" t="s">
        <v>30</v>
      </c>
      <c r="D40" s="196">
        <f>E40/$E$56</f>
        <v>6.0924418720819482E-2</v>
      </c>
      <c r="E40" s="314">
        <f>'planilha de orçamento'!I87</f>
        <v>8781.48</v>
      </c>
      <c r="F40" s="53"/>
      <c r="G40" s="311"/>
      <c r="H40" s="311"/>
      <c r="I40" s="46"/>
    </row>
    <row r="41" spans="2:9">
      <c r="B41" s="194"/>
      <c r="C41" s="208"/>
      <c r="D41" s="196"/>
      <c r="E41" s="221"/>
      <c r="F41" s="32"/>
      <c r="G41" s="312"/>
      <c r="H41" s="312"/>
      <c r="I41" s="33">
        <v>1</v>
      </c>
    </row>
    <row r="42" spans="2:9">
      <c r="B42" s="206"/>
      <c r="C42" s="209"/>
      <c r="D42" s="196"/>
      <c r="E42" s="222"/>
      <c r="F42" s="36"/>
      <c r="G42" s="313"/>
      <c r="H42" s="313"/>
      <c r="I42" s="38">
        <f>I41*E40</f>
        <v>8781.48</v>
      </c>
    </row>
    <row r="43" spans="2:9">
      <c r="B43" s="205">
        <v>12</v>
      </c>
      <c r="C43" s="207" t="s">
        <v>16</v>
      </c>
      <c r="D43" s="196">
        <f>E43/$E$56</f>
        <v>5.9159295915671511E-2</v>
      </c>
      <c r="E43" s="314">
        <f>'planilha de orçamento'!I94</f>
        <v>8527.0600000000013</v>
      </c>
      <c r="F43" s="53"/>
      <c r="G43" s="46"/>
      <c r="H43" s="46"/>
      <c r="I43" s="46"/>
    </row>
    <row r="44" spans="2:9">
      <c r="B44" s="194"/>
      <c r="C44" s="208"/>
      <c r="D44" s="196"/>
      <c r="E44" s="221"/>
      <c r="F44" s="32"/>
      <c r="G44" s="47">
        <v>0.4</v>
      </c>
      <c r="H44" s="47">
        <v>0.4</v>
      </c>
      <c r="I44" s="33">
        <v>0.2</v>
      </c>
    </row>
    <row r="45" spans="2:9">
      <c r="B45" s="206"/>
      <c r="C45" s="209"/>
      <c r="D45" s="196"/>
      <c r="E45" s="222"/>
      <c r="F45" s="36"/>
      <c r="G45" s="37">
        <f>G44*E43</f>
        <v>3410.8240000000005</v>
      </c>
      <c r="H45" s="37">
        <f>H44*E43</f>
        <v>3410.8240000000005</v>
      </c>
      <c r="I45" s="38">
        <f>I44*E43</f>
        <v>1705.4120000000003</v>
      </c>
    </row>
    <row r="46" spans="2:9">
      <c r="B46" s="205">
        <v>13</v>
      </c>
      <c r="C46" s="210" t="s">
        <v>138</v>
      </c>
      <c r="D46" s="196">
        <f>E46/$E$56</f>
        <v>2.1975508348707561E-2</v>
      </c>
      <c r="E46" s="314">
        <f>'planilha de orçamento'!I123</f>
        <v>3167.4899999999993</v>
      </c>
      <c r="F46" s="53"/>
      <c r="G46" s="46"/>
      <c r="H46" s="46"/>
      <c r="I46" s="46"/>
    </row>
    <row r="47" spans="2:9">
      <c r="B47" s="194"/>
      <c r="C47" s="195"/>
      <c r="D47" s="196"/>
      <c r="E47" s="221"/>
      <c r="F47" s="32"/>
      <c r="G47" s="47">
        <v>0.4</v>
      </c>
      <c r="H47" s="47">
        <v>0.4</v>
      </c>
      <c r="I47" s="33">
        <v>0.2</v>
      </c>
    </row>
    <row r="48" spans="2:9">
      <c r="B48" s="206"/>
      <c r="C48" s="211"/>
      <c r="D48" s="196"/>
      <c r="E48" s="222"/>
      <c r="F48" s="36"/>
      <c r="G48" s="37">
        <f>G47*E46</f>
        <v>1266.9959999999999</v>
      </c>
      <c r="H48" s="37">
        <f>H47*E46</f>
        <v>1266.9959999999999</v>
      </c>
      <c r="I48" s="38">
        <f>I47*E46</f>
        <v>633.49799999999993</v>
      </c>
    </row>
    <row r="49" spans="2:9">
      <c r="B49" s="205">
        <v>14</v>
      </c>
      <c r="C49" s="210" t="s">
        <v>302</v>
      </c>
      <c r="D49" s="196">
        <f>E49/$E$56</f>
        <v>3.6181826103559064E-2</v>
      </c>
      <c r="E49" s="314">
        <f>'planilha de orçamento'!I147</f>
        <v>5215.1500000000015</v>
      </c>
      <c r="F49" s="53"/>
      <c r="G49" s="46"/>
      <c r="H49" s="46"/>
      <c r="I49" s="46"/>
    </row>
    <row r="50" spans="2:9">
      <c r="B50" s="194"/>
      <c r="C50" s="195"/>
      <c r="D50" s="196"/>
      <c r="E50" s="221"/>
      <c r="F50" s="32"/>
      <c r="G50" s="47">
        <v>0.4</v>
      </c>
      <c r="H50" s="47">
        <v>0.4</v>
      </c>
      <c r="I50" s="33">
        <v>0.2</v>
      </c>
    </row>
    <row r="51" spans="2:9">
      <c r="B51" s="206"/>
      <c r="C51" s="211"/>
      <c r="D51" s="196"/>
      <c r="E51" s="222"/>
      <c r="F51" s="36"/>
      <c r="G51" s="37">
        <f>G50*E49</f>
        <v>2086.0600000000009</v>
      </c>
      <c r="H51" s="37">
        <f>H50*E49</f>
        <v>2086.0600000000009</v>
      </c>
      <c r="I51" s="38">
        <f>I50*E49</f>
        <v>1043.0300000000004</v>
      </c>
    </row>
    <row r="52" spans="2:9" ht="14.25" customHeight="1">
      <c r="B52" s="39"/>
      <c r="C52" s="40"/>
      <c r="D52" s="202">
        <f>E52/$E$56</f>
        <v>0.12197392652338106</v>
      </c>
      <c r="E52" s="314">
        <f>'planilha de orçamento'!I151</f>
        <v>17580.990000000002</v>
      </c>
      <c r="F52" s="53"/>
      <c r="G52" s="129"/>
      <c r="H52" s="54"/>
      <c r="I52" s="41"/>
    </row>
    <row r="53" spans="2:9" ht="21" customHeight="1">
      <c r="B53" s="30">
        <v>15</v>
      </c>
      <c r="C53" s="31" t="s">
        <v>139</v>
      </c>
      <c r="D53" s="203"/>
      <c r="E53" s="221"/>
      <c r="F53" s="32"/>
      <c r="G53" s="32"/>
      <c r="H53" s="32"/>
      <c r="I53" s="47">
        <v>1</v>
      </c>
    </row>
    <row r="54" spans="2:9" ht="13.5" thickBot="1">
      <c r="B54" s="130"/>
      <c r="C54" s="131"/>
      <c r="D54" s="316"/>
      <c r="E54" s="317"/>
      <c r="F54" s="132"/>
      <c r="G54" s="132"/>
      <c r="H54" s="132"/>
      <c r="I54" s="133">
        <f>I53*E52</f>
        <v>17580.990000000002</v>
      </c>
    </row>
    <row r="55" spans="2:9" ht="13.5" thickTop="1">
      <c r="B55" s="200" t="s">
        <v>17</v>
      </c>
      <c r="C55" s="201"/>
      <c r="D55" s="55">
        <v>0</v>
      </c>
      <c r="E55" s="55">
        <v>0</v>
      </c>
      <c r="F55" s="37">
        <f>SUM(F15,F18,F21,F24,F27,F30,F33,F12)</f>
        <v>68991.104999999996</v>
      </c>
      <c r="G55" s="37">
        <f>SUM(G36,G39,G45,G48,G51,G12)</f>
        <v>31986.015000000003</v>
      </c>
      <c r="H55" s="37">
        <f>SUM(H45,H48,H51,H12)</f>
        <v>10089.815000000001</v>
      </c>
      <c r="I55" s="37">
        <f>SUM(I42,I45,I48,I51,I54,I12)</f>
        <v>33070.345000000001</v>
      </c>
    </row>
    <row r="56" spans="2:9">
      <c r="B56" s="200" t="s">
        <v>18</v>
      </c>
      <c r="C56" s="201"/>
      <c r="D56" s="56">
        <f>SUM(D10:D55)</f>
        <v>1.0000199999999999</v>
      </c>
      <c r="E56" s="57">
        <f>SUM(E10:E54)</f>
        <v>144137.28</v>
      </c>
      <c r="F56" s="58">
        <f>+F55</f>
        <v>68991.104999999996</v>
      </c>
      <c r="G56" s="58">
        <f>+F56+G55</f>
        <v>100977.12</v>
      </c>
      <c r="H56" s="58">
        <f>+G56+H55</f>
        <v>111066.935</v>
      </c>
      <c r="I56" s="58">
        <f>+H56+I55</f>
        <v>144137.28</v>
      </c>
    </row>
    <row r="57" spans="2:9">
      <c r="B57" s="20"/>
      <c r="C57" s="20"/>
      <c r="D57" s="20"/>
      <c r="E57" s="20"/>
      <c r="F57" s="20"/>
      <c r="G57" s="20"/>
      <c r="H57" s="20"/>
      <c r="I57" s="20"/>
    </row>
    <row r="58" spans="2:9">
      <c r="B58" s="20" t="s">
        <v>19</v>
      </c>
      <c r="C58" s="59"/>
      <c r="D58" s="59"/>
      <c r="E58" s="59"/>
      <c r="F58" s="20"/>
      <c r="G58" s="20"/>
      <c r="H58" s="20"/>
      <c r="I58" s="20"/>
    </row>
    <row r="59" spans="2:9">
      <c r="B59" s="20"/>
      <c r="C59" s="20" t="s">
        <v>20</v>
      </c>
      <c r="D59" s="20"/>
      <c r="E59" s="20"/>
      <c r="F59" s="60"/>
      <c r="G59" s="60"/>
      <c r="H59" s="20"/>
      <c r="I59" s="20"/>
    </row>
    <row r="60" spans="2:9">
      <c r="D60" s="21"/>
      <c r="E60" s="21"/>
      <c r="F60" s="21"/>
      <c r="G60" s="21"/>
      <c r="H60" s="21"/>
    </row>
    <row r="61" spans="2:9">
      <c r="D61" s="21"/>
      <c r="E61" s="318"/>
      <c r="F61" s="318"/>
      <c r="G61" s="318"/>
      <c r="H61" s="21"/>
    </row>
    <row r="62" spans="2:9">
      <c r="D62" s="21"/>
      <c r="E62" s="318"/>
      <c r="F62" s="318"/>
      <c r="G62" s="318"/>
      <c r="H62" s="21"/>
    </row>
    <row r="63" spans="2:9">
      <c r="E63" s="315"/>
      <c r="F63" s="315"/>
      <c r="G63" s="315"/>
    </row>
  </sheetData>
  <mergeCells count="87">
    <mergeCell ref="B49:B51"/>
    <mergeCell ref="C49:C51"/>
    <mergeCell ref="D49:D51"/>
    <mergeCell ref="E49:E51"/>
    <mergeCell ref="B46:B48"/>
    <mergeCell ref="C46:C48"/>
    <mergeCell ref="D46:D48"/>
    <mergeCell ref="E46:E48"/>
    <mergeCell ref="G40:G42"/>
    <mergeCell ref="H40:H42"/>
    <mergeCell ref="B28:B30"/>
    <mergeCell ref="C28:C30"/>
    <mergeCell ref="D28:D30"/>
    <mergeCell ref="E28:E30"/>
    <mergeCell ref="G28:G30"/>
    <mergeCell ref="H28:H30"/>
    <mergeCell ref="B37:B39"/>
    <mergeCell ref="C37:C39"/>
    <mergeCell ref="D37:D39"/>
    <mergeCell ref="E37:E39"/>
    <mergeCell ref="H37:H39"/>
    <mergeCell ref="D40:D42"/>
    <mergeCell ref="B34:B36"/>
    <mergeCell ref="C34:C36"/>
    <mergeCell ref="G19:G21"/>
    <mergeCell ref="H19:H21"/>
    <mergeCell ref="B2:I3"/>
    <mergeCell ref="B8:B9"/>
    <mergeCell ref="C8:C9"/>
    <mergeCell ref="D8:D9"/>
    <mergeCell ref="F8:F9"/>
    <mergeCell ref="G8:G9"/>
    <mergeCell ref="B4:I4"/>
    <mergeCell ref="B5:I5"/>
    <mergeCell ref="B6:C6"/>
    <mergeCell ref="B19:B21"/>
    <mergeCell ref="C19:C21"/>
    <mergeCell ref="H6:I6"/>
    <mergeCell ref="H8:H9"/>
    <mergeCell ref="I8:I9"/>
    <mergeCell ref="B13:B15"/>
    <mergeCell ref="C13:C15"/>
    <mergeCell ref="D13:D15"/>
    <mergeCell ref="E13:E15"/>
    <mergeCell ref="B10:B12"/>
    <mergeCell ref="C10:C12"/>
    <mergeCell ref="D10:D12"/>
    <mergeCell ref="E10:E12"/>
    <mergeCell ref="B16:B18"/>
    <mergeCell ref="C16:C18"/>
    <mergeCell ref="D16:D18"/>
    <mergeCell ref="E16:E18"/>
    <mergeCell ref="B31:B33"/>
    <mergeCell ref="C31:C33"/>
    <mergeCell ref="D31:D33"/>
    <mergeCell ref="E31:E33"/>
    <mergeCell ref="B22:B24"/>
    <mergeCell ref="C22:C24"/>
    <mergeCell ref="D19:D21"/>
    <mergeCell ref="E19:E21"/>
    <mergeCell ref="B25:B27"/>
    <mergeCell ref="C25:C27"/>
    <mergeCell ref="B43:B45"/>
    <mergeCell ref="C43:C45"/>
    <mergeCell ref="D43:D45"/>
    <mergeCell ref="E43:E45"/>
    <mergeCell ref="B40:B42"/>
    <mergeCell ref="C40:C42"/>
    <mergeCell ref="E40:E42"/>
    <mergeCell ref="E63:G63"/>
    <mergeCell ref="D52:D54"/>
    <mergeCell ref="E52:E54"/>
    <mergeCell ref="B55:C55"/>
    <mergeCell ref="B56:C56"/>
    <mergeCell ref="E61:G61"/>
    <mergeCell ref="E62:G62"/>
    <mergeCell ref="G22:G24"/>
    <mergeCell ref="H22:H24"/>
    <mergeCell ref="H34:H36"/>
    <mergeCell ref="D25:D27"/>
    <mergeCell ref="E25:E27"/>
    <mergeCell ref="G25:G27"/>
    <mergeCell ref="H25:H27"/>
    <mergeCell ref="D22:D24"/>
    <mergeCell ref="E22:E24"/>
    <mergeCell ref="E34:E36"/>
    <mergeCell ref="D34:D36"/>
  </mergeCells>
  <printOptions horizontalCentered="1"/>
  <pageMargins left="0.39370078740157483" right="0.11811023622047245" top="1.7322834645669292" bottom="0.43307086614173229" header="0" footer="0.31496062992125984"/>
  <pageSetup paperSize="9" scale="7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0"/>
  <sheetViews>
    <sheetView tabSelected="1" workbookViewId="0">
      <selection activeCell="G18" sqref="G18"/>
    </sheetView>
  </sheetViews>
  <sheetFormatPr defaultRowHeight="12.75"/>
  <cols>
    <col min="1" max="1" width="2.5703125" customWidth="1"/>
    <col min="2" max="2" width="21.85546875" customWidth="1"/>
    <col min="3" max="3" width="53.85546875" customWidth="1"/>
    <col min="4" max="4" width="15" customWidth="1"/>
    <col min="5" max="5" width="18.140625" customWidth="1"/>
    <col min="6" max="6" width="11.5703125" customWidth="1"/>
    <col min="7" max="7" width="22.5703125" customWidth="1"/>
  </cols>
  <sheetData>
    <row r="1" spans="1:7" ht="13.5" thickBot="1">
      <c r="B1" s="69"/>
      <c r="C1" s="69"/>
      <c r="D1" s="353"/>
      <c r="E1" s="69"/>
      <c r="F1" s="69"/>
      <c r="G1" s="69"/>
    </row>
    <row r="2" spans="1:7" ht="18">
      <c r="B2" s="354" t="s">
        <v>310</v>
      </c>
      <c r="C2" s="355"/>
      <c r="D2" s="355"/>
      <c r="E2" s="355"/>
      <c r="F2" s="355"/>
      <c r="G2" s="356"/>
    </row>
    <row r="3" spans="1:7">
      <c r="B3" s="357" t="s">
        <v>311</v>
      </c>
      <c r="C3" s="358"/>
      <c r="D3" s="358"/>
      <c r="E3" s="358"/>
      <c r="F3" s="358"/>
      <c r="G3" s="359"/>
    </row>
    <row r="4" spans="1:7" ht="13.5" thickBot="1">
      <c r="B4" s="360" t="s">
        <v>383</v>
      </c>
      <c r="C4" s="361"/>
      <c r="D4" s="361"/>
      <c r="E4" s="361"/>
      <c r="F4" s="361"/>
      <c r="G4" s="362"/>
    </row>
    <row r="5" spans="1:7" ht="13.5" thickBot="1">
      <c r="D5" s="3"/>
    </row>
    <row r="6" spans="1:7">
      <c r="B6" s="363" t="s">
        <v>312</v>
      </c>
      <c r="C6" s="364" t="s">
        <v>313</v>
      </c>
      <c r="D6" s="364"/>
      <c r="E6" s="364"/>
      <c r="F6" s="364"/>
      <c r="G6" s="365" t="s">
        <v>314</v>
      </c>
    </row>
    <row r="7" spans="1:7" ht="25.5">
      <c r="B7" s="366" t="s">
        <v>315</v>
      </c>
      <c r="C7" s="367" t="s">
        <v>316</v>
      </c>
      <c r="D7" s="367" t="s">
        <v>121</v>
      </c>
      <c r="E7" s="367" t="s">
        <v>317</v>
      </c>
      <c r="F7" s="368" t="s">
        <v>318</v>
      </c>
      <c r="G7" s="369" t="s">
        <v>319</v>
      </c>
    </row>
    <row r="8" spans="1:7">
      <c r="B8" s="370" t="s">
        <v>320</v>
      </c>
      <c r="C8" s="371"/>
      <c r="D8" s="371"/>
      <c r="E8" s="371"/>
      <c r="F8" s="371"/>
      <c r="G8" s="372"/>
    </row>
    <row r="9" spans="1:7" ht="25.5">
      <c r="B9" s="373" t="s">
        <v>321</v>
      </c>
      <c r="C9" s="374" t="s">
        <v>387</v>
      </c>
      <c r="D9" s="375" t="s">
        <v>322</v>
      </c>
      <c r="E9" s="376">
        <v>320</v>
      </c>
      <c r="F9" s="377">
        <v>20.46</v>
      </c>
      <c r="G9" s="378">
        <f>TRUNC(E9*F9,2)</f>
        <v>6547.2</v>
      </c>
    </row>
    <row r="10" spans="1:7" ht="26.25" thickBot="1">
      <c r="B10" s="373" t="s">
        <v>323</v>
      </c>
      <c r="C10" s="379" t="s">
        <v>324</v>
      </c>
      <c r="D10" s="380" t="s">
        <v>322</v>
      </c>
      <c r="E10" s="376">
        <v>48</v>
      </c>
      <c r="F10" s="381">
        <v>80.760000000000005</v>
      </c>
      <c r="G10" s="382">
        <f>TRUNC(E10*F10,2)</f>
        <v>3876.48</v>
      </c>
    </row>
    <row r="11" spans="1:7" ht="16.5" thickBot="1">
      <c r="A11" s="69"/>
      <c r="B11" s="383" t="s">
        <v>384</v>
      </c>
      <c r="C11" s="384"/>
      <c r="D11" s="384"/>
      <c r="E11" s="385"/>
      <c r="F11" s="386" t="s">
        <v>325</v>
      </c>
      <c r="G11" s="387">
        <f>SUM(G9:G10)</f>
        <v>10423.68</v>
      </c>
    </row>
    <row r="12" spans="1:7" ht="13.5" thickBot="1">
      <c r="B12" s="388"/>
      <c r="C12" s="389"/>
      <c r="D12" s="389"/>
      <c r="E12" s="389"/>
      <c r="F12" s="390"/>
      <c r="G12" s="390"/>
    </row>
    <row r="13" spans="1:7">
      <c r="B13" s="391" t="s">
        <v>326</v>
      </c>
      <c r="C13" s="392" t="s">
        <v>78</v>
      </c>
      <c r="D13" s="393"/>
      <c r="E13" s="393"/>
      <c r="F13" s="394"/>
      <c r="G13" s="395" t="s">
        <v>314</v>
      </c>
    </row>
    <row r="14" spans="1:7" ht="25.5">
      <c r="B14" s="396" t="s">
        <v>327</v>
      </c>
      <c r="C14" s="367" t="s">
        <v>316</v>
      </c>
      <c r="D14" s="367" t="s">
        <v>121</v>
      </c>
      <c r="E14" s="367" t="s">
        <v>317</v>
      </c>
      <c r="F14" s="368" t="s">
        <v>328</v>
      </c>
      <c r="G14" s="369" t="s">
        <v>329</v>
      </c>
    </row>
    <row r="15" spans="1:7">
      <c r="B15" s="370" t="s">
        <v>330</v>
      </c>
      <c r="C15" s="371"/>
      <c r="D15" s="371"/>
      <c r="E15" s="371"/>
      <c r="F15" s="371"/>
      <c r="G15" s="372"/>
    </row>
    <row r="16" spans="1:7" ht="38.25">
      <c r="B16" s="480">
        <v>3736</v>
      </c>
      <c r="C16" s="397" t="s">
        <v>331</v>
      </c>
      <c r="D16" s="398" t="s">
        <v>314</v>
      </c>
      <c r="E16" s="399">
        <v>1</v>
      </c>
      <c r="F16" s="400">
        <v>32.5</v>
      </c>
      <c r="G16" s="481">
        <f>TRUNC(E16*F16,2)</f>
        <v>32.5</v>
      </c>
    </row>
    <row r="17" spans="2:7" ht="25.5">
      <c r="B17" s="482">
        <v>4430</v>
      </c>
      <c r="C17" s="402" t="s">
        <v>332</v>
      </c>
      <c r="D17" s="398" t="s">
        <v>69</v>
      </c>
      <c r="E17" s="403">
        <v>1.71</v>
      </c>
      <c r="F17" s="404">
        <v>5.1100000000000003</v>
      </c>
      <c r="G17" s="481">
        <f t="shared" ref="G17:G25" si="0">TRUNC(E17*F17,2)</f>
        <v>8.73</v>
      </c>
    </row>
    <row r="18" spans="2:7" ht="25.5">
      <c r="B18" s="482">
        <v>4517</v>
      </c>
      <c r="C18" s="405" t="s">
        <v>333</v>
      </c>
      <c r="D18" s="398" t="s">
        <v>69</v>
      </c>
      <c r="E18" s="403">
        <v>0.97</v>
      </c>
      <c r="F18" s="404">
        <v>1.1599999999999999</v>
      </c>
      <c r="G18" s="481">
        <f t="shared" si="0"/>
        <v>1.1200000000000001</v>
      </c>
    </row>
    <row r="19" spans="2:7" ht="25.5">
      <c r="B19" s="482">
        <v>367</v>
      </c>
      <c r="C19" s="405" t="s">
        <v>334</v>
      </c>
      <c r="D19" s="398" t="s">
        <v>335</v>
      </c>
      <c r="E19" s="403">
        <v>4.9000000000000002E-2</v>
      </c>
      <c r="F19" s="404">
        <v>54</v>
      </c>
      <c r="G19" s="481">
        <f t="shared" si="0"/>
        <v>2.64</v>
      </c>
    </row>
    <row r="20" spans="2:7">
      <c r="B20" s="482">
        <v>1379</v>
      </c>
      <c r="C20" s="406" t="s">
        <v>336</v>
      </c>
      <c r="D20" s="398" t="s">
        <v>109</v>
      </c>
      <c r="E20" s="403">
        <v>15</v>
      </c>
      <c r="F20" s="404">
        <v>0.5</v>
      </c>
      <c r="G20" s="481">
        <f t="shared" si="0"/>
        <v>7.5</v>
      </c>
    </row>
    <row r="21" spans="2:7" ht="25.5">
      <c r="B21" s="482">
        <v>4718</v>
      </c>
      <c r="C21" s="405" t="s">
        <v>337</v>
      </c>
      <c r="D21" s="398" t="s">
        <v>335</v>
      </c>
      <c r="E21" s="403">
        <v>3.3000000000000002E-2</v>
      </c>
      <c r="F21" s="404">
        <v>63.77</v>
      </c>
      <c r="G21" s="481">
        <f t="shared" si="0"/>
        <v>2.1</v>
      </c>
    </row>
    <row r="22" spans="2:7" ht="25.5">
      <c r="B22" s="482">
        <v>4721</v>
      </c>
      <c r="C22" s="405" t="s">
        <v>338</v>
      </c>
      <c r="D22" s="398" t="s">
        <v>335</v>
      </c>
      <c r="E22" s="403">
        <v>1.0999999999999999E-2</v>
      </c>
      <c r="F22" s="404">
        <v>63.77</v>
      </c>
      <c r="G22" s="481">
        <f t="shared" si="0"/>
        <v>0.7</v>
      </c>
    </row>
    <row r="23" spans="2:7">
      <c r="B23" s="482">
        <v>5075</v>
      </c>
      <c r="C23" s="406" t="s">
        <v>339</v>
      </c>
      <c r="D23" s="407" t="s">
        <v>109</v>
      </c>
      <c r="E23" s="408">
        <v>0.03</v>
      </c>
      <c r="F23" s="408">
        <v>9.15</v>
      </c>
      <c r="G23" s="481">
        <f t="shared" si="0"/>
        <v>0.27</v>
      </c>
    </row>
    <row r="24" spans="2:7" ht="25.5">
      <c r="B24" s="482">
        <v>10567</v>
      </c>
      <c r="C24" s="405" t="s">
        <v>340</v>
      </c>
      <c r="D24" s="407" t="s">
        <v>69</v>
      </c>
      <c r="E24" s="408">
        <v>0.56000000000000005</v>
      </c>
      <c r="F24" s="408">
        <v>4.25</v>
      </c>
      <c r="G24" s="481">
        <f t="shared" si="0"/>
        <v>2.38</v>
      </c>
    </row>
    <row r="25" spans="2:7">
      <c r="B25" s="482">
        <v>34449</v>
      </c>
      <c r="C25" s="409" t="s">
        <v>341</v>
      </c>
      <c r="D25" s="407" t="s">
        <v>109</v>
      </c>
      <c r="E25" s="408">
        <v>1.89</v>
      </c>
      <c r="F25" s="408">
        <v>5.01</v>
      </c>
      <c r="G25" s="481">
        <f t="shared" si="0"/>
        <v>9.4600000000000009</v>
      </c>
    </row>
    <row r="26" spans="2:7">
      <c r="B26" s="370" t="s">
        <v>320</v>
      </c>
      <c r="C26" s="371"/>
      <c r="D26" s="371"/>
      <c r="E26" s="371"/>
      <c r="F26" s="371"/>
      <c r="G26" s="372"/>
    </row>
    <row r="27" spans="2:7">
      <c r="B27" s="410" t="s">
        <v>342</v>
      </c>
      <c r="C27" s="406" t="s">
        <v>343</v>
      </c>
      <c r="D27" s="411" t="s">
        <v>322</v>
      </c>
      <c r="E27" s="412">
        <v>0.44</v>
      </c>
      <c r="F27" s="413">
        <v>17.420000000000002</v>
      </c>
      <c r="G27" s="414">
        <f>TRUNC(E27*F27,2)</f>
        <v>7.66</v>
      </c>
    </row>
    <row r="28" spans="2:7" ht="13.5" thickBot="1">
      <c r="B28" s="483" t="s">
        <v>344</v>
      </c>
      <c r="C28" s="484" t="s">
        <v>345</v>
      </c>
      <c r="D28" s="380" t="s">
        <v>322</v>
      </c>
      <c r="E28" s="485">
        <v>1.88</v>
      </c>
      <c r="F28" s="486">
        <v>14.13</v>
      </c>
      <c r="G28" s="487">
        <f>TRUNC(E28*F28,2)</f>
        <v>26.56</v>
      </c>
    </row>
    <row r="29" spans="2:7" ht="16.5" thickBot="1">
      <c r="B29" s="416" t="s">
        <v>346</v>
      </c>
      <c r="C29" s="416"/>
      <c r="D29" s="416"/>
      <c r="E29" s="417"/>
      <c r="F29" s="418" t="s">
        <v>325</v>
      </c>
      <c r="G29" s="419">
        <f>SUM(G16:G28)</f>
        <v>101.62</v>
      </c>
    </row>
    <row r="30" spans="2:7">
      <c r="B30" s="363" t="s">
        <v>347</v>
      </c>
      <c r="C30" s="364" t="s">
        <v>101</v>
      </c>
      <c r="D30" s="364"/>
      <c r="E30" s="364"/>
      <c r="F30" s="364"/>
      <c r="G30" s="365" t="s">
        <v>314</v>
      </c>
    </row>
    <row r="31" spans="2:7" ht="25.5">
      <c r="B31" s="366" t="s">
        <v>348</v>
      </c>
      <c r="C31" s="367" t="s">
        <v>316</v>
      </c>
      <c r="D31" s="367" t="s">
        <v>121</v>
      </c>
      <c r="E31" s="367" t="s">
        <v>317</v>
      </c>
      <c r="F31" s="368" t="s">
        <v>318</v>
      </c>
      <c r="G31" s="369" t="s">
        <v>319</v>
      </c>
    </row>
    <row r="32" spans="2:7">
      <c r="B32" s="370" t="s">
        <v>330</v>
      </c>
      <c r="C32" s="371"/>
      <c r="D32" s="371"/>
      <c r="E32" s="371"/>
      <c r="F32" s="371"/>
      <c r="G32" s="372"/>
    </row>
    <row r="33" spans="1:7" ht="25.5">
      <c r="B33" s="420" t="s">
        <v>349</v>
      </c>
      <c r="C33" s="374" t="s">
        <v>350</v>
      </c>
      <c r="D33" s="375" t="s">
        <v>70</v>
      </c>
      <c r="E33" s="376">
        <v>1.05</v>
      </c>
      <c r="F33" s="377">
        <v>203.4</v>
      </c>
      <c r="G33" s="378">
        <f>TRUNC(E33*F33,2)</f>
        <v>213.57</v>
      </c>
    </row>
    <row r="34" spans="1:7">
      <c r="B34" s="370" t="s">
        <v>320</v>
      </c>
      <c r="C34" s="371"/>
      <c r="D34" s="371"/>
      <c r="E34" s="371"/>
      <c r="F34" s="371"/>
      <c r="G34" s="372"/>
    </row>
    <row r="35" spans="1:7">
      <c r="B35" s="420" t="s">
        <v>351</v>
      </c>
      <c r="C35" s="374" t="s">
        <v>352</v>
      </c>
      <c r="D35" s="375" t="s">
        <v>322</v>
      </c>
      <c r="E35" s="376">
        <v>3.5</v>
      </c>
      <c r="F35" s="377">
        <v>16.8</v>
      </c>
      <c r="G35" s="378">
        <f>TRUNC(E35*F35,2)</f>
        <v>58.8</v>
      </c>
    </row>
    <row r="36" spans="1:7" ht="13.5" thickBot="1">
      <c r="B36" s="420" t="s">
        <v>344</v>
      </c>
      <c r="C36" s="421" t="s">
        <v>345</v>
      </c>
      <c r="D36" s="380" t="s">
        <v>322</v>
      </c>
      <c r="E36" s="376">
        <v>3.5</v>
      </c>
      <c r="F36" s="381">
        <v>14.13</v>
      </c>
      <c r="G36" s="382">
        <f>TRUNC(E36*F36,2)</f>
        <v>49.45</v>
      </c>
    </row>
    <row r="37" spans="1:7" ht="16.5" thickBot="1">
      <c r="A37" s="69"/>
      <c r="B37" s="383" t="s">
        <v>353</v>
      </c>
      <c r="C37" s="384"/>
      <c r="D37" s="384"/>
      <c r="E37" s="385"/>
      <c r="F37" s="386" t="s">
        <v>325</v>
      </c>
      <c r="G37" s="387">
        <f>SUM(G33,G35,G36)</f>
        <v>321.82</v>
      </c>
    </row>
    <row r="38" spans="1:7" ht="13.5" thickBot="1">
      <c r="B38" s="422"/>
      <c r="C38" s="388"/>
      <c r="D38" s="423"/>
      <c r="E38" s="423"/>
      <c r="F38" s="424"/>
      <c r="G38" s="424"/>
    </row>
    <row r="39" spans="1:7">
      <c r="B39" s="363" t="s">
        <v>354</v>
      </c>
      <c r="C39" s="364" t="s">
        <v>159</v>
      </c>
      <c r="D39" s="364"/>
      <c r="E39" s="364"/>
      <c r="F39" s="364"/>
      <c r="G39" s="365" t="s">
        <v>314</v>
      </c>
    </row>
    <row r="40" spans="1:7" ht="25.5">
      <c r="B40" s="366" t="s">
        <v>348</v>
      </c>
      <c r="C40" s="367" t="s">
        <v>316</v>
      </c>
      <c r="D40" s="367" t="s">
        <v>121</v>
      </c>
      <c r="E40" s="367" t="s">
        <v>317</v>
      </c>
      <c r="F40" s="368" t="s">
        <v>318</v>
      </c>
      <c r="G40" s="369" t="s">
        <v>319</v>
      </c>
    </row>
    <row r="41" spans="1:7">
      <c r="B41" s="370" t="s">
        <v>330</v>
      </c>
      <c r="C41" s="371"/>
      <c r="D41" s="371"/>
      <c r="E41" s="371"/>
      <c r="F41" s="371"/>
      <c r="G41" s="372"/>
    </row>
    <row r="42" spans="1:7" ht="25.5">
      <c r="B42" s="420" t="s">
        <v>355</v>
      </c>
      <c r="C42" s="374" t="s">
        <v>356</v>
      </c>
      <c r="D42" s="375" t="s">
        <v>121</v>
      </c>
      <c r="E42" s="376">
        <v>6.25</v>
      </c>
      <c r="F42" s="377">
        <v>8.3699999999999992</v>
      </c>
      <c r="G42" s="378">
        <f>TRUNC(E42*F42,2)</f>
        <v>52.31</v>
      </c>
    </row>
    <row r="43" spans="1:7" ht="25.5">
      <c r="B43" s="420" t="s">
        <v>357</v>
      </c>
      <c r="C43" s="374" t="s">
        <v>358</v>
      </c>
      <c r="D43" s="375" t="s">
        <v>335</v>
      </c>
      <c r="E43" s="376">
        <v>0.01</v>
      </c>
      <c r="F43" s="377">
        <v>62.75</v>
      </c>
      <c r="G43" s="378">
        <f>TRUNC(E43*F43,2)</f>
        <v>0.62</v>
      </c>
    </row>
    <row r="44" spans="1:7">
      <c r="B44" s="420" t="s">
        <v>359</v>
      </c>
      <c r="C44" s="374" t="s">
        <v>336</v>
      </c>
      <c r="D44" s="375" t="s">
        <v>109</v>
      </c>
      <c r="E44" s="376">
        <v>7.5</v>
      </c>
      <c r="F44" s="377">
        <v>0.5</v>
      </c>
      <c r="G44" s="378">
        <f>TRUNC(E44*F44,2)</f>
        <v>3.75</v>
      </c>
    </row>
    <row r="45" spans="1:7">
      <c r="B45" s="370" t="s">
        <v>320</v>
      </c>
      <c r="C45" s="371"/>
      <c r="D45" s="371"/>
      <c r="E45" s="371"/>
      <c r="F45" s="371"/>
      <c r="G45" s="372"/>
    </row>
    <row r="46" spans="1:7">
      <c r="B46" s="420" t="s">
        <v>360</v>
      </c>
      <c r="C46" s="374" t="s">
        <v>361</v>
      </c>
      <c r="D46" s="375" t="s">
        <v>322</v>
      </c>
      <c r="E46" s="376">
        <v>0.5</v>
      </c>
      <c r="F46" s="377">
        <v>17.170000000000002</v>
      </c>
      <c r="G46" s="378">
        <f>TRUNC(E46*F46,2)</f>
        <v>8.58</v>
      </c>
    </row>
    <row r="47" spans="1:7" ht="13.5" thickBot="1">
      <c r="B47" s="420" t="s">
        <v>344</v>
      </c>
      <c r="C47" s="421" t="s">
        <v>345</v>
      </c>
      <c r="D47" s="380" t="s">
        <v>322</v>
      </c>
      <c r="E47" s="425">
        <v>0.6</v>
      </c>
      <c r="F47" s="381">
        <v>14.13</v>
      </c>
      <c r="G47" s="382">
        <f>TRUNC(E47*F47,2)</f>
        <v>8.4700000000000006</v>
      </c>
    </row>
    <row r="48" spans="1:7" ht="16.5" thickBot="1">
      <c r="A48" s="69"/>
      <c r="B48" s="383" t="s">
        <v>385</v>
      </c>
      <c r="C48" s="384"/>
      <c r="D48" s="384"/>
      <c r="E48" s="385"/>
      <c r="F48" s="386" t="s">
        <v>325</v>
      </c>
      <c r="G48" s="387">
        <f>SUM(G42,G43,G44,G46,G47)</f>
        <v>73.73</v>
      </c>
    </row>
    <row r="49" spans="2:7">
      <c r="B49" s="388" t="s">
        <v>362</v>
      </c>
      <c r="C49" s="389"/>
      <c r="D49" s="389"/>
      <c r="E49" s="389"/>
      <c r="F49" s="390"/>
      <c r="G49" s="390"/>
    </row>
    <row r="50" spans="2:7" ht="13.5" thickBot="1">
      <c r="B50" s="422"/>
      <c r="C50" s="388"/>
      <c r="D50" s="423"/>
      <c r="E50" s="423"/>
      <c r="F50" s="424"/>
      <c r="G50" s="424"/>
    </row>
    <row r="51" spans="2:7">
      <c r="B51" s="391" t="s">
        <v>363</v>
      </c>
      <c r="C51" s="426" t="s">
        <v>271</v>
      </c>
      <c r="D51" s="426"/>
      <c r="E51" s="426"/>
      <c r="F51" s="426"/>
      <c r="G51" s="395" t="s">
        <v>121</v>
      </c>
    </row>
    <row r="52" spans="2:7" ht="25.5">
      <c r="B52" s="396" t="s">
        <v>327</v>
      </c>
      <c r="C52" s="367" t="s">
        <v>316</v>
      </c>
      <c r="D52" s="367" t="s">
        <v>121</v>
      </c>
      <c r="E52" s="367" t="s">
        <v>317</v>
      </c>
      <c r="F52" s="368" t="s">
        <v>328</v>
      </c>
      <c r="G52" s="369" t="s">
        <v>329</v>
      </c>
    </row>
    <row r="53" spans="2:7">
      <c r="B53" s="370" t="s">
        <v>330</v>
      </c>
      <c r="C53" s="371"/>
      <c r="D53" s="371"/>
      <c r="E53" s="371"/>
      <c r="F53" s="371"/>
      <c r="G53" s="372"/>
    </row>
    <row r="54" spans="2:7" ht="25.5">
      <c r="B54" s="401">
        <v>39467</v>
      </c>
      <c r="C54" s="427" t="s">
        <v>364</v>
      </c>
      <c r="D54" s="401" t="s">
        <v>2</v>
      </c>
      <c r="E54" s="428">
        <v>1</v>
      </c>
      <c r="F54" s="429">
        <v>71.08</v>
      </c>
      <c r="G54" s="430">
        <f>TRUNC(E54*F54,2)</f>
        <v>71.08</v>
      </c>
    </row>
    <row r="55" spans="2:7">
      <c r="B55" s="370" t="s">
        <v>320</v>
      </c>
      <c r="C55" s="371"/>
      <c r="D55" s="371"/>
      <c r="E55" s="371"/>
      <c r="F55" s="371"/>
      <c r="G55" s="372"/>
    </row>
    <row r="56" spans="2:7">
      <c r="B56" s="401">
        <v>88264</v>
      </c>
      <c r="C56" s="431" t="s">
        <v>365</v>
      </c>
      <c r="D56" s="411" t="s">
        <v>322</v>
      </c>
      <c r="E56" s="412">
        <v>0.3</v>
      </c>
      <c r="F56" s="413">
        <v>18.04</v>
      </c>
      <c r="G56" s="414">
        <f>TRUNC(E56*F56,2)</f>
        <v>5.41</v>
      </c>
    </row>
    <row r="57" spans="2:7" ht="13.5" thickBot="1">
      <c r="B57" s="410" t="s">
        <v>344</v>
      </c>
      <c r="C57" s="406" t="s">
        <v>345</v>
      </c>
      <c r="D57" s="411" t="s">
        <v>322</v>
      </c>
      <c r="E57" s="412">
        <v>0.3</v>
      </c>
      <c r="F57" s="415">
        <v>14.13</v>
      </c>
      <c r="G57" s="414">
        <f>TRUNC(E57*F57,2)</f>
        <v>4.2300000000000004</v>
      </c>
    </row>
    <row r="58" spans="2:7" ht="16.5" thickBot="1">
      <c r="B58" s="416" t="s">
        <v>366</v>
      </c>
      <c r="C58" s="416"/>
      <c r="D58" s="416"/>
      <c r="E58" s="417"/>
      <c r="F58" s="418" t="s">
        <v>325</v>
      </c>
      <c r="G58" s="419">
        <f>SUM(G54:G57)</f>
        <v>80.72</v>
      </c>
    </row>
    <row r="59" spans="2:7" ht="13.5" thickBot="1">
      <c r="D59" s="3"/>
    </row>
    <row r="60" spans="2:7">
      <c r="B60" s="391" t="s">
        <v>367</v>
      </c>
      <c r="C60" s="426" t="s">
        <v>368</v>
      </c>
      <c r="D60" s="426"/>
      <c r="E60" s="426"/>
      <c r="F60" s="426"/>
      <c r="G60" s="395" t="s">
        <v>121</v>
      </c>
    </row>
    <row r="61" spans="2:7" ht="25.5">
      <c r="B61" s="396" t="s">
        <v>327</v>
      </c>
      <c r="C61" s="367" t="s">
        <v>316</v>
      </c>
      <c r="D61" s="367" t="s">
        <v>121</v>
      </c>
      <c r="E61" s="367" t="s">
        <v>317</v>
      </c>
      <c r="F61" s="368" t="s">
        <v>328</v>
      </c>
      <c r="G61" s="369" t="s">
        <v>329</v>
      </c>
    </row>
    <row r="62" spans="2:7">
      <c r="B62" s="370" t="s">
        <v>330</v>
      </c>
      <c r="C62" s="371"/>
      <c r="D62" s="371"/>
      <c r="E62" s="371"/>
      <c r="F62" s="371"/>
      <c r="G62" s="372"/>
    </row>
    <row r="63" spans="2:7" ht="25.5">
      <c r="B63" s="401">
        <v>39447</v>
      </c>
      <c r="C63" s="427" t="s">
        <v>368</v>
      </c>
      <c r="D63" s="401" t="s">
        <v>2</v>
      </c>
      <c r="E63" s="432">
        <v>1</v>
      </c>
      <c r="F63" s="433">
        <v>110.63</v>
      </c>
      <c r="G63" s="434">
        <f>TRUNC(E63*F63,2)</f>
        <v>110.63</v>
      </c>
    </row>
    <row r="64" spans="2:7">
      <c r="B64" s="370" t="s">
        <v>320</v>
      </c>
      <c r="C64" s="371"/>
      <c r="D64" s="371"/>
      <c r="E64" s="371"/>
      <c r="F64" s="371"/>
      <c r="G64" s="372"/>
    </row>
    <row r="65" spans="1:7">
      <c r="B65" s="401">
        <v>88264</v>
      </c>
      <c r="C65" s="431" t="s">
        <v>365</v>
      </c>
      <c r="D65" s="411" t="s">
        <v>322</v>
      </c>
      <c r="E65" s="412">
        <v>0.6</v>
      </c>
      <c r="F65" s="413">
        <v>18.04</v>
      </c>
      <c r="G65" s="414">
        <f>TRUNC(E65*F65,2)</f>
        <v>10.82</v>
      </c>
    </row>
    <row r="66" spans="1:7" ht="13.5" thickBot="1">
      <c r="B66" s="410" t="s">
        <v>344</v>
      </c>
      <c r="C66" s="406" t="s">
        <v>345</v>
      </c>
      <c r="D66" s="411" t="s">
        <v>322</v>
      </c>
      <c r="E66" s="412">
        <v>0.6</v>
      </c>
      <c r="F66" s="415">
        <v>14.13</v>
      </c>
      <c r="G66" s="414">
        <f>TRUNC(E66*F66,2)</f>
        <v>8.4700000000000006</v>
      </c>
    </row>
    <row r="67" spans="1:7" ht="16.5" thickBot="1">
      <c r="B67" s="416" t="s">
        <v>369</v>
      </c>
      <c r="C67" s="416"/>
      <c r="D67" s="416"/>
      <c r="E67" s="417"/>
      <c r="F67" s="418" t="s">
        <v>325</v>
      </c>
      <c r="G67" s="419">
        <f>SUM(G63:G66)</f>
        <v>129.91999999999999</v>
      </c>
    </row>
    <row r="68" spans="1:7" ht="13.5" thickBot="1">
      <c r="D68" s="3"/>
    </row>
    <row r="69" spans="1:7">
      <c r="B69" s="391" t="s">
        <v>370</v>
      </c>
      <c r="C69" s="426" t="s">
        <v>102</v>
      </c>
      <c r="D69" s="426"/>
      <c r="E69" s="426"/>
      <c r="F69" s="426"/>
      <c r="G69" s="395" t="s">
        <v>121</v>
      </c>
    </row>
    <row r="70" spans="1:7" ht="25.5">
      <c r="B70" s="396" t="s">
        <v>327</v>
      </c>
      <c r="C70" s="367" t="s">
        <v>316</v>
      </c>
      <c r="D70" s="367" t="s">
        <v>121</v>
      </c>
      <c r="E70" s="367" t="s">
        <v>317</v>
      </c>
      <c r="F70" s="368" t="s">
        <v>328</v>
      </c>
      <c r="G70" s="369" t="s">
        <v>329</v>
      </c>
    </row>
    <row r="71" spans="1:7">
      <c r="B71" s="370" t="s">
        <v>330</v>
      </c>
      <c r="C71" s="371"/>
      <c r="D71" s="371"/>
      <c r="E71" s="371"/>
      <c r="F71" s="371"/>
      <c r="G71" s="372"/>
    </row>
    <row r="72" spans="1:7" ht="38.25">
      <c r="B72" s="435" t="s">
        <v>371</v>
      </c>
      <c r="C72" s="402" t="s">
        <v>372</v>
      </c>
      <c r="D72" s="407" t="s">
        <v>314</v>
      </c>
      <c r="E72" s="436">
        <v>24.09</v>
      </c>
      <c r="F72" s="437">
        <v>483.01</v>
      </c>
      <c r="G72" s="378">
        <f>TRUNC(E72*F72,2)</f>
        <v>11635.71</v>
      </c>
    </row>
    <row r="73" spans="1:7">
      <c r="B73" s="435" t="s">
        <v>373</v>
      </c>
      <c r="C73" s="402" t="s">
        <v>374</v>
      </c>
      <c r="D73" s="407" t="s">
        <v>109</v>
      </c>
      <c r="E73" s="436">
        <v>12.59</v>
      </c>
      <c r="F73" s="408">
        <v>28.73</v>
      </c>
      <c r="G73" s="378">
        <f>TRUNC(E73*F73,2)</f>
        <v>361.71</v>
      </c>
    </row>
    <row r="74" spans="1:7">
      <c r="B74" s="435" t="s">
        <v>375</v>
      </c>
      <c r="C74" s="402" t="s">
        <v>376</v>
      </c>
      <c r="D74" s="407" t="s">
        <v>109</v>
      </c>
      <c r="E74" s="408">
        <v>108.4</v>
      </c>
      <c r="F74" s="408">
        <v>1.68</v>
      </c>
      <c r="G74" s="378">
        <f>TRUNC(E74*F74,2)</f>
        <v>182.11</v>
      </c>
    </row>
    <row r="75" spans="1:7" ht="25.5">
      <c r="B75" s="435" t="s">
        <v>377</v>
      </c>
      <c r="C75" s="402" t="s">
        <v>378</v>
      </c>
      <c r="D75" s="407" t="s">
        <v>121</v>
      </c>
      <c r="E75" s="408">
        <v>1</v>
      </c>
      <c r="F75" s="408">
        <v>94.43</v>
      </c>
      <c r="G75" s="378">
        <f>TRUNC(E75*F75,2)</f>
        <v>94.43</v>
      </c>
    </row>
    <row r="76" spans="1:7" ht="25.5">
      <c r="B76" s="435" t="s">
        <v>379</v>
      </c>
      <c r="C76" s="402" t="s">
        <v>380</v>
      </c>
      <c r="D76" s="407" t="s">
        <v>121</v>
      </c>
      <c r="E76" s="408">
        <v>3</v>
      </c>
      <c r="F76" s="408">
        <v>117.89</v>
      </c>
      <c r="G76" s="378">
        <f>TRUNC(E76*F76,2)</f>
        <v>353.67</v>
      </c>
    </row>
    <row r="77" spans="1:7">
      <c r="B77" s="370" t="s">
        <v>320</v>
      </c>
      <c r="C77" s="371"/>
      <c r="D77" s="371"/>
      <c r="E77" s="371"/>
      <c r="F77" s="371"/>
      <c r="G77" s="372"/>
    </row>
    <row r="78" spans="1:7" ht="25.5">
      <c r="B78" s="410" t="s">
        <v>381</v>
      </c>
      <c r="C78" s="438" t="s">
        <v>382</v>
      </c>
      <c r="D78" s="411" t="s">
        <v>322</v>
      </c>
      <c r="E78" s="412">
        <v>35.89</v>
      </c>
      <c r="F78" s="413">
        <v>17.649999999999999</v>
      </c>
      <c r="G78" s="414">
        <f>TRUNC(E78*F78,2)</f>
        <v>633.45000000000005</v>
      </c>
    </row>
    <row r="79" spans="1:7" ht="13.5" thickBot="1">
      <c r="B79" s="410" t="s">
        <v>344</v>
      </c>
      <c r="C79" s="438" t="s">
        <v>345</v>
      </c>
      <c r="D79" s="411" t="s">
        <v>322</v>
      </c>
      <c r="E79" s="412">
        <v>23.61</v>
      </c>
      <c r="F79" s="415">
        <v>14.13</v>
      </c>
      <c r="G79" s="439">
        <f>TRUNC(E79*F79,2)</f>
        <v>333.6</v>
      </c>
    </row>
    <row r="80" spans="1:7" ht="16.5" customHeight="1" thickBot="1">
      <c r="A80" s="69"/>
      <c r="B80" s="440" t="s">
        <v>386</v>
      </c>
      <c r="C80" s="441"/>
      <c r="D80" s="441"/>
      <c r="E80" s="442"/>
      <c r="F80" s="418" t="s">
        <v>325</v>
      </c>
      <c r="G80" s="419">
        <f>TRUNC(SUM(G72:G79),2)</f>
        <v>13594.68</v>
      </c>
    </row>
  </sheetData>
  <mergeCells count="29">
    <mergeCell ref="B64:G64"/>
    <mergeCell ref="B67:E67"/>
    <mergeCell ref="C69:F69"/>
    <mergeCell ref="B71:G71"/>
    <mergeCell ref="B77:G77"/>
    <mergeCell ref="C51:F51"/>
    <mergeCell ref="B53:G53"/>
    <mergeCell ref="B55:G55"/>
    <mergeCell ref="B58:E58"/>
    <mergeCell ref="C60:F60"/>
    <mergeCell ref="B62:G62"/>
    <mergeCell ref="B34:G34"/>
    <mergeCell ref="B37:E37"/>
    <mergeCell ref="C39:F39"/>
    <mergeCell ref="B41:G41"/>
    <mergeCell ref="B45:G45"/>
    <mergeCell ref="B48:E48"/>
    <mergeCell ref="C13:F13"/>
    <mergeCell ref="B15:G15"/>
    <mergeCell ref="B26:G26"/>
    <mergeCell ref="B29:E29"/>
    <mergeCell ref="C30:F30"/>
    <mergeCell ref="B32:G32"/>
    <mergeCell ref="B2:G2"/>
    <mergeCell ref="B3:G3"/>
    <mergeCell ref="B4:G4"/>
    <mergeCell ref="C6:F6"/>
    <mergeCell ref="B8:G8"/>
    <mergeCell ref="B11:E11"/>
  </mergeCells>
  <pageMargins left="0.51181102362204722" right="0.51181102362204722" top="0.78740157480314965" bottom="0.78740157480314965" header="0.31496062992125984" footer="0.31496062992125984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C22" sqref="C22"/>
    </sheetView>
  </sheetViews>
  <sheetFormatPr defaultRowHeight="12.75"/>
  <cols>
    <col min="3" max="3" width="52.42578125" customWidth="1"/>
    <col min="4" max="4" width="28.140625" customWidth="1"/>
    <col min="6" max="6" width="13" customWidth="1"/>
  </cols>
  <sheetData>
    <row r="1" spans="1:6">
      <c r="A1" s="338" t="s">
        <v>31</v>
      </c>
      <c r="B1" s="339"/>
      <c r="C1" s="339"/>
      <c r="D1" s="340"/>
      <c r="E1" s="66"/>
      <c r="F1" s="66"/>
    </row>
    <row r="2" spans="1:6" ht="13.5" thickBot="1">
      <c r="A2" s="341"/>
      <c r="B2" s="342"/>
      <c r="C2" s="342"/>
      <c r="D2" s="343"/>
      <c r="E2" s="67"/>
      <c r="F2" s="67"/>
    </row>
    <row r="3" spans="1:6" ht="16.5" thickBot="1">
      <c r="A3" s="68"/>
      <c r="B3" s="69"/>
      <c r="C3" s="69"/>
      <c r="D3" s="70"/>
      <c r="E3" s="71"/>
      <c r="F3" s="72"/>
    </row>
    <row r="4" spans="1:6" ht="16.5" thickBot="1">
      <c r="A4" s="344" t="s">
        <v>32</v>
      </c>
      <c r="B4" s="345"/>
      <c r="C4" s="346"/>
      <c r="D4" s="73"/>
      <c r="E4" s="71"/>
      <c r="F4" s="72"/>
    </row>
    <row r="5" spans="1:6" ht="15.75">
      <c r="A5" s="347" t="s">
        <v>33</v>
      </c>
      <c r="B5" s="348"/>
      <c r="C5" s="349"/>
      <c r="D5" s="74">
        <v>190.03</v>
      </c>
      <c r="E5" s="71"/>
      <c r="F5" s="74">
        <v>190.03</v>
      </c>
    </row>
    <row r="6" spans="1:6" ht="15.75">
      <c r="A6" s="350" t="s">
        <v>42</v>
      </c>
      <c r="B6" s="351"/>
      <c r="C6" s="352"/>
      <c r="D6" s="75">
        <v>573.15599999999995</v>
      </c>
      <c r="E6" s="71"/>
      <c r="F6" s="82">
        <v>573.15599999999995</v>
      </c>
    </row>
    <row r="7" spans="1:6" ht="15.75">
      <c r="A7" s="350" t="s">
        <v>37</v>
      </c>
      <c r="B7" s="351"/>
      <c r="C7" s="352"/>
      <c r="D7" s="75">
        <v>701.66399999999999</v>
      </c>
      <c r="E7" s="71"/>
      <c r="F7" s="82">
        <v>701.66399999999999</v>
      </c>
    </row>
    <row r="8" spans="1:6" ht="15.75">
      <c r="A8" s="350" t="s">
        <v>34</v>
      </c>
      <c r="B8" s="351"/>
      <c r="C8" s="352"/>
      <c r="D8" s="76">
        <f>((D7-D6)/D6+1)</f>
        <v>1.2242112095136404</v>
      </c>
      <c r="E8" s="71"/>
      <c r="F8" s="76">
        <f>((F7-F6)/F6+1)</f>
        <v>1.2242112095136404</v>
      </c>
    </row>
    <row r="9" spans="1:6" ht="15.75">
      <c r="A9" s="334" t="s">
        <v>35</v>
      </c>
      <c r="B9" s="335"/>
      <c r="C9" s="336"/>
      <c r="D9" s="77">
        <f>TRUNC(D5*D8,2)</f>
        <v>232.63</v>
      </c>
      <c r="E9" s="71"/>
      <c r="F9" s="77">
        <f>TRUNC(F5*F8,2)</f>
        <v>232.63</v>
      </c>
    </row>
    <row r="10" spans="1:6" ht="16.5" thickBot="1">
      <c r="A10" s="78"/>
      <c r="B10" s="79"/>
      <c r="C10" s="79"/>
      <c r="D10" s="80"/>
      <c r="E10" s="71"/>
      <c r="F10" s="72"/>
    </row>
    <row r="11" spans="1:6">
      <c r="A11" s="337" t="s">
        <v>36</v>
      </c>
      <c r="B11" s="337"/>
      <c r="C11" s="337"/>
      <c r="D11" s="337"/>
      <c r="E11" s="337"/>
      <c r="F11" s="337"/>
    </row>
    <row r="14" spans="1:6">
      <c r="D14" s="81"/>
    </row>
  </sheetData>
  <mergeCells count="8">
    <mergeCell ref="A9:C9"/>
    <mergeCell ref="A11:F11"/>
    <mergeCell ref="A1:D2"/>
    <mergeCell ref="A4:C4"/>
    <mergeCell ref="A5:C5"/>
    <mergeCell ref="A6:C6"/>
    <mergeCell ref="A7:C7"/>
    <mergeCell ref="A8:C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6</vt:i4>
      </vt:variant>
    </vt:vector>
  </HeadingPairs>
  <TitlesOfParts>
    <vt:vector size="11" baseType="lpstr">
      <vt:lpstr>RESUMO</vt:lpstr>
      <vt:lpstr>planilha de orçamento</vt:lpstr>
      <vt:lpstr>CRON</vt:lpstr>
      <vt:lpstr>COMPOSIÇÕES</vt:lpstr>
      <vt:lpstr>INCC</vt:lpstr>
      <vt:lpstr>COMPOSIÇÕES!Area_de_impressao</vt:lpstr>
      <vt:lpstr>'planilha de orçamento'!Area_de_impressao</vt:lpstr>
      <vt:lpstr>RESUMO!Area_de_impressao</vt:lpstr>
      <vt:lpstr>CRON!Titulos_de_impressao</vt:lpstr>
      <vt:lpstr>'planilha de orçamento'!Titulos_de_impressao</vt:lpstr>
      <vt:lpstr>RESUMO!Titulos_de_impressao</vt:lpstr>
    </vt:vector>
  </TitlesOfParts>
  <Company>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Engenharia PMSAL</cp:lastModifiedBy>
  <cp:lastPrinted>2018-08-14T12:27:18Z</cp:lastPrinted>
  <dcterms:created xsi:type="dcterms:W3CDTF">1998-04-12T12:31:25Z</dcterms:created>
  <dcterms:modified xsi:type="dcterms:W3CDTF">2018-08-14T12:27:35Z</dcterms:modified>
</cp:coreProperties>
</file>