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5" windowWidth="9180" windowHeight="3480" tabRatio="601" activeTab="1"/>
  </bookViews>
  <sheets>
    <sheet name="RESUMO" sheetId="22" r:id="rId1"/>
    <sheet name="planilha de orçamento" sheetId="19" r:id="rId2"/>
    <sheet name="COMPOSIÇÃO" sheetId="23" r:id="rId3"/>
    <sheet name="CRON" sheetId="21" r:id="rId4"/>
    <sheet name="Parte externa" sheetId="24" r:id="rId5"/>
    <sheet name="Parte Interna" sheetId="25" r:id="rId6"/>
  </sheets>
  <definedNames>
    <definedName name="_xlnm.Print_Area" localSheetId="2">COMPOSIÇÃO!$B$2:$I$75</definedName>
    <definedName name="_xlnm.Print_Area" localSheetId="3">CRON!$A$1:$J$69</definedName>
    <definedName name="_xlnm.Print_Area" localSheetId="1">'planilha de orçamento'!$B$2:$I$192</definedName>
    <definedName name="_xlnm.Print_Area" localSheetId="0">RESUMO!$A$2:$E$54</definedName>
    <definedName name="_xlnm.Print_Titles" localSheetId="2">COMPOSIÇÃO!$3:$5</definedName>
    <definedName name="_xlnm.Print_Titles" localSheetId="3">CRON!$1:$8</definedName>
    <definedName name="_xlnm.Print_Titles" localSheetId="1">'planilha de orçamento'!$B:$I,'planilha de orçamento'!$2:$14</definedName>
    <definedName name="_xlnm.Print_Titles" localSheetId="0">RESUMO!$2:$6</definedName>
  </definedNames>
  <calcPr calcId="124519"/>
</workbook>
</file>

<file path=xl/calcChain.xml><?xml version="1.0" encoding="utf-8"?>
<calcChain xmlns="http://schemas.openxmlformats.org/spreadsheetml/2006/main">
  <c r="K73" i="19"/>
  <c r="H73"/>
  <c r="I73" s="1"/>
  <c r="E42" i="21"/>
  <c r="E36" i="22"/>
  <c r="I87" i="19"/>
  <c r="I79"/>
  <c r="K78"/>
  <c r="H78"/>
  <c r="I78" s="1"/>
  <c r="K79"/>
  <c r="J79"/>
  <c r="G79"/>
  <c r="K77"/>
  <c r="H77"/>
  <c r="I77" s="1"/>
  <c r="K74"/>
  <c r="I74"/>
  <c r="H74"/>
  <c r="K65"/>
  <c r="H65"/>
  <c r="I65" s="1"/>
  <c r="K24"/>
  <c r="H24"/>
  <c r="I24" s="1"/>
  <c r="K23"/>
  <c r="H23"/>
  <c r="I23" s="1"/>
  <c r="K22"/>
  <c r="H22"/>
  <c r="I22" s="1"/>
  <c r="K21"/>
  <c r="H21"/>
  <c r="I21" s="1"/>
  <c r="G25"/>
  <c r="K20"/>
  <c r="H20"/>
  <c r="I20" s="1"/>
  <c r="K19"/>
  <c r="K25" s="1"/>
  <c r="J25" s="1"/>
  <c r="H19"/>
  <c r="I19" s="1"/>
  <c r="K179"/>
  <c r="H179"/>
  <c r="I179" s="1"/>
  <c r="K183"/>
  <c r="H183"/>
  <c r="I183" s="1"/>
  <c r="K178"/>
  <c r="H178"/>
  <c r="I178" s="1"/>
  <c r="H170"/>
  <c r="I170" s="1"/>
  <c r="K175"/>
  <c r="H175"/>
  <c r="I175" s="1"/>
  <c r="H169"/>
  <c r="I169" s="1"/>
  <c r="K174"/>
  <c r="H174"/>
  <c r="I174" s="1"/>
  <c r="K147"/>
  <c r="H147"/>
  <c r="I147" s="1"/>
  <c r="I75" l="1"/>
  <c r="G44" i="21"/>
  <c r="I25" i="19"/>
  <c r="K121"/>
  <c r="H121"/>
  <c r="I121" s="1"/>
  <c r="H115"/>
  <c r="I115" s="1"/>
  <c r="H113"/>
  <c r="I113" s="1"/>
  <c r="K72"/>
  <c r="H72"/>
  <c r="I72" s="1"/>
  <c r="K71"/>
  <c r="H71"/>
  <c r="I71" s="1"/>
  <c r="K70"/>
  <c r="H70"/>
  <c r="I70" s="1"/>
  <c r="K69"/>
  <c r="H69"/>
  <c r="I69" s="1"/>
  <c r="H35" i="23"/>
  <c r="H34"/>
  <c r="H37"/>
  <c r="K97" i="19"/>
  <c r="H97"/>
  <c r="I97" s="1"/>
  <c r="K95"/>
  <c r="H95"/>
  <c r="I95" s="1"/>
  <c r="K83"/>
  <c r="H83"/>
  <c r="I83" s="1"/>
  <c r="K38"/>
  <c r="H38"/>
  <c r="I38" s="1"/>
  <c r="K47"/>
  <c r="H47"/>
  <c r="I47" s="1"/>
  <c r="E15" i="21" l="1"/>
  <c r="F17" s="1"/>
  <c r="E12" i="22"/>
  <c r="K41" i="19"/>
  <c r="H41"/>
  <c r="K42"/>
  <c r="H42"/>
  <c r="I42" s="1"/>
  <c r="K129"/>
  <c r="H129"/>
  <c r="I129" s="1"/>
  <c r="K86"/>
  <c r="H86"/>
  <c r="I86" s="1"/>
  <c r="K131"/>
  <c r="H131"/>
  <c r="I131" s="1"/>
  <c r="H110"/>
  <c r="I110" s="1"/>
  <c r="H109"/>
  <c r="I109" s="1"/>
  <c r="H118"/>
  <c r="I118" s="1"/>
  <c r="K122"/>
  <c r="H122"/>
  <c r="I122" s="1"/>
  <c r="K125"/>
  <c r="H125"/>
  <c r="I125" s="1"/>
  <c r="H117"/>
  <c r="I117" s="1"/>
  <c r="H116"/>
  <c r="I116" s="1"/>
  <c r="K148"/>
  <c r="H148"/>
  <c r="I148" s="1"/>
  <c r="I41" l="1"/>
  <c r="K157"/>
  <c r="H157"/>
  <c r="I157" s="1"/>
  <c r="H114"/>
  <c r="I114" s="1"/>
  <c r="H112"/>
  <c r="I112" s="1"/>
  <c r="K107"/>
  <c r="H107"/>
  <c r="I107" s="1"/>
  <c r="K104"/>
  <c r="H104"/>
  <c r="I104" s="1"/>
  <c r="H73" i="23"/>
  <c r="H72"/>
  <c r="H70"/>
  <c r="H64"/>
  <c r="H63"/>
  <c r="H61"/>
  <c r="H54"/>
  <c r="H52"/>
  <c r="H46"/>
  <c r="H44"/>
  <c r="H74" l="1"/>
  <c r="H65"/>
  <c r="H47"/>
  <c r="H55"/>
  <c r="K96" i="19" l="1"/>
  <c r="H96"/>
  <c r="I96" s="1"/>
  <c r="K93"/>
  <c r="H93"/>
  <c r="I93" s="1"/>
  <c r="K85"/>
  <c r="H85"/>
  <c r="I85" s="1"/>
  <c r="K84"/>
  <c r="H84"/>
  <c r="I84" s="1"/>
  <c r="K167" l="1"/>
  <c r="H167"/>
  <c r="I167" s="1"/>
  <c r="K177"/>
  <c r="H177"/>
  <c r="I177" s="1"/>
  <c r="K160"/>
  <c r="H160"/>
  <c r="I160" s="1"/>
  <c r="K159"/>
  <c r="H159"/>
  <c r="I159" s="1"/>
  <c r="K158"/>
  <c r="H158"/>
  <c r="I158" s="1"/>
  <c r="K132"/>
  <c r="H132"/>
  <c r="I132" s="1"/>
  <c r="K126"/>
  <c r="H126"/>
  <c r="I126" s="1"/>
  <c r="K127"/>
  <c r="H127"/>
  <c r="I127" s="1"/>
  <c r="K120"/>
  <c r="H120"/>
  <c r="I120" s="1"/>
  <c r="K149"/>
  <c r="H149"/>
  <c r="I149" s="1"/>
  <c r="K124"/>
  <c r="H124"/>
  <c r="I124" s="1"/>
  <c r="K128"/>
  <c r="H128"/>
  <c r="I128" s="1"/>
  <c r="H111"/>
  <c r="I111" s="1"/>
  <c r="K100"/>
  <c r="K145"/>
  <c r="H145"/>
  <c r="I145" s="1"/>
  <c r="K144"/>
  <c r="H144"/>
  <c r="I144" s="1"/>
  <c r="K146"/>
  <c r="H146"/>
  <c r="I146" s="1"/>
  <c r="K141"/>
  <c r="H141"/>
  <c r="I141" s="1"/>
  <c r="K143"/>
  <c r="H143"/>
  <c r="I143" s="1"/>
  <c r="K140"/>
  <c r="H140"/>
  <c r="I140" s="1"/>
  <c r="K139"/>
  <c r="H139"/>
  <c r="I139" s="1"/>
  <c r="K134"/>
  <c r="H134"/>
  <c r="I134" s="1"/>
  <c r="K156"/>
  <c r="H156"/>
  <c r="I156" s="1"/>
  <c r="K155"/>
  <c r="H155"/>
  <c r="I155" s="1"/>
  <c r="K154"/>
  <c r="H154"/>
  <c r="I154" s="1"/>
  <c r="K153"/>
  <c r="H153"/>
  <c r="I153" s="1"/>
  <c r="K152"/>
  <c r="H152"/>
  <c r="I152" s="1"/>
  <c r="K151"/>
  <c r="H151"/>
  <c r="I151" s="1"/>
  <c r="K150"/>
  <c r="H150"/>
  <c r="I150" s="1"/>
  <c r="G165"/>
  <c r="K164"/>
  <c r="H164"/>
  <c r="I164" s="1"/>
  <c r="H163"/>
  <c r="I163" s="1"/>
  <c r="H162"/>
  <c r="I162" s="1"/>
  <c r="K161"/>
  <c r="H161"/>
  <c r="I161" s="1"/>
  <c r="H108"/>
  <c r="I108" s="1"/>
  <c r="K106"/>
  <c r="H106"/>
  <c r="I106" s="1"/>
  <c r="K105"/>
  <c r="H105"/>
  <c r="I105" s="1"/>
  <c r="K103"/>
  <c r="H103"/>
  <c r="I103" s="1"/>
  <c r="K102"/>
  <c r="H102"/>
  <c r="I102" s="1"/>
  <c r="K101"/>
  <c r="H101"/>
  <c r="I101" s="1"/>
  <c r="K89" l="1"/>
  <c r="H89"/>
  <c r="I89" s="1"/>
  <c r="K60" l="1"/>
  <c r="H60"/>
  <c r="I60" s="1"/>
  <c r="K66"/>
  <c r="H66"/>
  <c r="I66" s="1"/>
  <c r="A43" i="25"/>
  <c r="D43"/>
  <c r="A40"/>
  <c r="B40"/>
  <c r="C40"/>
  <c r="D40"/>
  <c r="E40"/>
  <c r="S28"/>
  <c r="D11" i="24"/>
  <c r="A37"/>
  <c r="A23" i="25"/>
  <c r="A22"/>
  <c r="S20"/>
  <c r="A15"/>
  <c r="B15"/>
  <c r="C15"/>
  <c r="D15"/>
  <c r="E15"/>
  <c r="F15"/>
  <c r="G15"/>
  <c r="H15"/>
  <c r="I15"/>
  <c r="J15"/>
  <c r="K15"/>
  <c r="M15"/>
  <c r="N15"/>
  <c r="O15"/>
  <c r="P15"/>
  <c r="Q15"/>
  <c r="R15"/>
  <c r="L15"/>
  <c r="B21" i="24"/>
  <c r="C12"/>
  <c r="G187" i="19"/>
  <c r="H189"/>
  <c r="I189" s="1"/>
  <c r="K189"/>
  <c r="K190" s="1"/>
  <c r="J190" s="1"/>
  <c r="G190"/>
  <c r="G87"/>
  <c r="F40" i="25" l="1"/>
  <c r="S15"/>
  <c r="I190" i="19"/>
  <c r="H38" i="23"/>
  <c r="H39" s="1"/>
  <c r="H29"/>
  <c r="H28"/>
  <c r="H26"/>
  <c r="H25"/>
  <c r="H24"/>
  <c r="H23"/>
  <c r="H22"/>
  <c r="H21"/>
  <c r="H20"/>
  <c r="H19"/>
  <c r="H18"/>
  <c r="H17"/>
  <c r="H11"/>
  <c r="H10"/>
  <c r="E50" i="22" l="1"/>
  <c r="H12" i="23"/>
  <c r="H30"/>
  <c r="K82" i="19"/>
  <c r="H82"/>
  <c r="I82" s="1"/>
  <c r="H54"/>
  <c r="I54" s="1"/>
  <c r="I55" s="1"/>
  <c r="B6" i="22"/>
  <c r="E6"/>
  <c r="H48" i="19"/>
  <c r="I48" s="1"/>
  <c r="H49"/>
  <c r="I49" s="1"/>
  <c r="H50"/>
  <c r="I50" s="1"/>
  <c r="H51"/>
  <c r="I51" s="1"/>
  <c r="H46"/>
  <c r="I46" s="1"/>
  <c r="H37"/>
  <c r="I37" s="1"/>
  <c r="H39"/>
  <c r="I39" s="1"/>
  <c r="H40"/>
  <c r="I40" s="1"/>
  <c r="H43"/>
  <c r="I43" s="1"/>
  <c r="H36"/>
  <c r="I36" s="1"/>
  <c r="H32"/>
  <c r="I32" s="1"/>
  <c r="H33"/>
  <c r="I33" s="1"/>
  <c r="H31"/>
  <c r="I31" s="1"/>
  <c r="H171"/>
  <c r="I171" s="1"/>
  <c r="H172"/>
  <c r="I172" s="1"/>
  <c r="H173"/>
  <c r="I173" s="1"/>
  <c r="H176"/>
  <c r="I176" s="1"/>
  <c r="H182"/>
  <c r="I182" s="1"/>
  <c r="H184"/>
  <c r="I184" s="1"/>
  <c r="H185"/>
  <c r="I185" s="1"/>
  <c r="H186"/>
  <c r="I186" s="1"/>
  <c r="H168"/>
  <c r="I168" s="1"/>
  <c r="K186"/>
  <c r="K182"/>
  <c r="K181"/>
  <c r="H180"/>
  <c r="I180" s="1"/>
  <c r="K176"/>
  <c r="K173"/>
  <c r="K172"/>
  <c r="K171"/>
  <c r="K168"/>
  <c r="K187" s="1"/>
  <c r="J187" s="1"/>
  <c r="G55"/>
  <c r="K54"/>
  <c r="K55" s="1"/>
  <c r="G52"/>
  <c r="K51"/>
  <c r="K50"/>
  <c r="K49"/>
  <c r="K48"/>
  <c r="K46"/>
  <c r="K52" s="1"/>
  <c r="J52" s="1"/>
  <c r="G44"/>
  <c r="K43"/>
  <c r="K40"/>
  <c r="K39"/>
  <c r="K37"/>
  <c r="K44" s="1"/>
  <c r="J44" s="1"/>
  <c r="K36"/>
  <c r="G34"/>
  <c r="K33"/>
  <c r="K32"/>
  <c r="K31"/>
  <c r="K34" s="1"/>
  <c r="H135"/>
  <c r="I135" s="1"/>
  <c r="H136"/>
  <c r="I136" s="1"/>
  <c r="H137"/>
  <c r="I137" s="1"/>
  <c r="H138"/>
  <c r="I138" s="1"/>
  <c r="H142"/>
  <c r="I142" s="1"/>
  <c r="H119"/>
  <c r="I119" s="1"/>
  <c r="H123"/>
  <c r="I123" s="1"/>
  <c r="H130"/>
  <c r="I130" s="1"/>
  <c r="H94"/>
  <c r="I94" s="1"/>
  <c r="I98" s="1"/>
  <c r="H90"/>
  <c r="I90" s="1"/>
  <c r="I91" s="1"/>
  <c r="H81"/>
  <c r="I81" s="1"/>
  <c r="H63"/>
  <c r="I63" s="1"/>
  <c r="H64"/>
  <c r="I64" s="1"/>
  <c r="H58"/>
  <c r="I58" s="1"/>
  <c r="H59"/>
  <c r="I59" s="1"/>
  <c r="H57"/>
  <c r="I57" s="1"/>
  <c r="H27"/>
  <c r="I27" s="1"/>
  <c r="H28"/>
  <c r="I28" s="1"/>
  <c r="H16"/>
  <c r="I16" s="1"/>
  <c r="I17" s="1"/>
  <c r="G17"/>
  <c r="K16"/>
  <c r="K17" s="1"/>
  <c r="J17" s="1"/>
  <c r="K142"/>
  <c r="K138"/>
  <c r="K137"/>
  <c r="K136"/>
  <c r="K135"/>
  <c r="K133"/>
  <c r="K130"/>
  <c r="K123"/>
  <c r="K165" s="1"/>
  <c r="J165" s="1"/>
  <c r="K119"/>
  <c r="B8" i="21"/>
  <c r="B4" i="22"/>
  <c r="B5"/>
  <c r="K27" i="19"/>
  <c r="K29" s="1"/>
  <c r="J29" s="1"/>
  <c r="G98"/>
  <c r="G91"/>
  <c r="G75"/>
  <c r="G67"/>
  <c r="G61"/>
  <c r="G29"/>
  <c r="K57"/>
  <c r="K64"/>
  <c r="K63"/>
  <c r="K67" s="1"/>
  <c r="J67" s="1"/>
  <c r="K75"/>
  <c r="J75" s="1"/>
  <c r="K28"/>
  <c r="K59"/>
  <c r="K81"/>
  <c r="K87" s="1"/>
  <c r="J87" s="1"/>
  <c r="K94"/>
  <c r="K98" s="1"/>
  <c r="J98" s="1"/>
  <c r="K58"/>
  <c r="K61" s="1"/>
  <c r="J61" s="1"/>
  <c r="K90"/>
  <c r="K91" s="1"/>
  <c r="J91" s="1"/>
  <c r="H181"/>
  <c r="I181" s="1"/>
  <c r="I67" l="1"/>
  <c r="I52"/>
  <c r="I44"/>
  <c r="E19" i="22" s="1"/>
  <c r="I165" i="19"/>
  <c r="E54" i="21" s="1"/>
  <c r="E12"/>
  <c r="E10" i="22"/>
  <c r="I191" i="19"/>
  <c r="I187"/>
  <c r="I61"/>
  <c r="E28" i="22" s="1"/>
  <c r="E51" i="21"/>
  <c r="H53" s="1"/>
  <c r="E48"/>
  <c r="I34" i="19"/>
  <c r="I29"/>
  <c r="E25" i="22"/>
  <c r="E30" i="21"/>
  <c r="F32" s="1"/>
  <c r="E18" l="1"/>
  <c r="E14" i="22"/>
  <c r="E27" i="21"/>
  <c r="F29" s="1"/>
  <c r="E57"/>
  <c r="E47" i="22"/>
  <c r="E45" i="21"/>
  <c r="G47" s="1"/>
  <c r="E38" i="22"/>
  <c r="E44"/>
  <c r="I50" i="21"/>
  <c r="H50"/>
  <c r="E17" i="22"/>
  <c r="E21" i="21"/>
  <c r="F23" s="1"/>
  <c r="F20"/>
  <c r="E42" i="22"/>
  <c r="E40"/>
  <c r="E33" i="21"/>
  <c r="F35" s="1"/>
  <c r="E22" i="22"/>
  <c r="E24" i="21"/>
  <c r="F26" s="1"/>
  <c r="H14"/>
  <c r="I14"/>
  <c r="G14"/>
  <c r="F14"/>
  <c r="E31" i="22"/>
  <c r="E36" i="21"/>
  <c r="I53"/>
  <c r="E60"/>
  <c r="E39"/>
  <c r="E34" i="22"/>
  <c r="G53" i="21"/>
  <c r="E53" i="22" l="1"/>
  <c r="I62" i="21"/>
  <c r="H56"/>
  <c r="I56"/>
  <c r="G56"/>
  <c r="G59"/>
  <c r="G63" s="1"/>
  <c r="H59"/>
  <c r="H63" s="1"/>
  <c r="I59"/>
  <c r="G41"/>
  <c r="F38"/>
  <c r="F63" s="1"/>
  <c r="E64"/>
  <c r="D15" l="1"/>
  <c r="D42"/>
  <c r="D12" i="22"/>
  <c r="D36"/>
  <c r="I63" i="21"/>
  <c r="D50" i="22"/>
  <c r="D10"/>
  <c r="F64" i="21"/>
  <c r="D47" i="22"/>
  <c r="D38"/>
  <c r="D45" i="21"/>
  <c r="D12"/>
  <c r="D18"/>
  <c r="D24"/>
  <c r="D48"/>
  <c r="D33"/>
  <c r="D30"/>
  <c r="D21"/>
  <c r="D27"/>
  <c r="D51"/>
  <c r="D34" i="22"/>
  <c r="D39" i="21"/>
  <c r="D14" i="22"/>
  <c r="D25"/>
  <c r="D28"/>
  <c r="D22"/>
  <c r="D40"/>
  <c r="D42"/>
  <c r="D17"/>
  <c r="D19"/>
  <c r="D57" i="21"/>
  <c r="D54"/>
  <c r="D60"/>
  <c r="D36"/>
  <c r="D44" i="22"/>
  <c r="D31"/>
  <c r="G64" i="21" l="1"/>
  <c r="H64" s="1"/>
  <c r="I64" s="1"/>
  <c r="D53" i="22"/>
  <c r="D64" i="21"/>
</calcChain>
</file>

<file path=xl/sharedStrings.xml><?xml version="1.0" encoding="utf-8"?>
<sst xmlns="http://schemas.openxmlformats.org/spreadsheetml/2006/main" count="806" uniqueCount="484">
  <si>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</si>
  <si>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</si>
  <si>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</si>
  <si>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</si>
  <si>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</si>
  <si>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</si>
  <si>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</si>
  <si>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</si>
  <si>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</si>
  <si>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</si>
  <si>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</si>
  <si>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</si>
  <si>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</si>
  <si>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</si>
  <si>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</si>
  <si>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</si>
  <si>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</si>
  <si>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</si>
  <si>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</si>
  <si>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</si>
  <si>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</si>
  <si>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</si>
  <si>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</si>
  <si>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</si>
  <si>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</si>
  <si>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</si>
  <si>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</si>
  <si>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</si>
  <si>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</si>
  <si>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</si>
  <si>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</si>
  <si>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</si>
  <si>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>LIMPEZA FINAL DA OBRA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</si>
  <si>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</si>
  <si>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</si>
  <si>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</si>
  <si>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</si>
  <si>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</si>
  <si>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</si>
  <si>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</si>
  <si>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</si>
  <si>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</si>
  <si>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</si>
  <si>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</si>
  <si>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</si>
  <si>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</si>
  <si>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</si>
  <si>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</si>
  <si>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</si>
  <si>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</si>
  <si>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</si>
  <si>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</si>
  <si>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</si>
  <si>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</si>
  <si>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</si>
  <si>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</si>
  <si>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</si>
  <si>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</si>
  <si>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</si>
  <si>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</si>
  <si>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LAJE PRÉ-FABRICADA TRELIÇADA PARA PISO OU COBERTURA, INTEREIXO 38CM, H= 12CM, EL. ENCHIMENTO EM EPS H-8CM, INCLUSIVE ESCORAMENTO EM MADEIRA E CAPEAMENTO 4CM</t>
  </si>
  <si>
    <t>74106/001</t>
  </si>
  <si>
    <t>CHAPISCO APLICADO EM ALVENARIA (COM PRESENÇA DE VÃOS) E ESTRUTURA DE CONCRETO DE FACHADA, COM COLHER DE PEDREIRO, ARGAMASSA TRAÇO 1:3 PREPARO EM BETONEIRA 400L. AF_06/2014</t>
  </si>
  <si>
    <t>APLICAÇÃO MANUAL DE PINTURA COM TINTA LÁTEX ACRÍLICA EM PAREDES, DUAS DEMÃOS, AF_06/2014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</si>
  <si>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</si>
  <si>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</si>
  <si>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</si>
  <si>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</si>
  <si>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</si>
  <si>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COMPOSIÇÃO 01</t>
  </si>
  <si>
    <t>ALVENARIA DE VEDAÇÃO DE BLOCOS CERÂMICOS FURADOS NA HORIZONTAL DE 9 X19X19CM (ESPESSURA 11,5CM) DE PAREDES COM ÁREA LÍQUIDA  MAIOR OU IGUAL A 6M² COM VÃOS E ARGAMASSA DE ASSENTAMENTO COM PREPARO EM BETONEIRA AF_06_2014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</si>
  <si>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</si>
  <si>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</si>
  <si>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</si>
  <si>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</si>
  <si>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</si>
  <si>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</si>
  <si>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</si>
  <si>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UN</t>
  </si>
  <si>
    <t>CAIXA D`ÁGUA EM POLIETILENO, 1000 LITROS COM ACESSÓRIOS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</si>
  <si>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</si>
  <si>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</si>
  <si>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</si>
  <si>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</si>
  <si>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</si>
  <si>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</si>
  <si>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</si>
  <si>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</si>
  <si>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</si>
  <si>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</si>
  <si>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</si>
  <si>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MÉDIA (1,30M DO PISO), PVC INSTALADA EM PAREDE-FORNECIMENTO E INSTALAÇÃO . AF_12/2015</t>
  </si>
  <si>
    <t>INTERRUPTOR SIMPLES (2 MÓDULOS), 10A/250V,  INCLUINDO SUPORTE E PLACA- FORNECIMENTO E INSTALAÇÃO.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</si>
  <si>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</si>
  <si>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</si>
  <si>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</si>
  <si>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</si>
  <si>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</si>
  <si>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</si>
  <si>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ADMINISTRAÇÃO LOCAL</t>
  </si>
  <si>
    <t xml:space="preserve">ADMINISTRAÇÃO LOCAL DE OBRA </t>
  </si>
  <si>
    <t>ENCARGOS SOCIAIS SOBRE MÃO DE OBRA: 88,80%</t>
  </si>
  <si>
    <t xml:space="preserve">         deste orçamento.</t>
  </si>
  <si>
    <t>Nota Técnica: O Serviços que correspondem a sondagem do tipo SPT serão realizados pela equipe técnica da Administração Municipal, estando assim a parte</t>
  </si>
  <si>
    <t>Administração Local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</si>
  <si>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</si>
  <si>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</si>
  <si>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</si>
  <si>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</si>
  <si>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</si>
  <si>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</si>
  <si>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2.3</t>
  </si>
  <si>
    <t>3.2</t>
  </si>
  <si>
    <t>4.1</t>
  </si>
  <si>
    <t>4.2</t>
  </si>
  <si>
    <t>4.3</t>
  </si>
  <si>
    <t>5.1</t>
  </si>
  <si>
    <t>5.2</t>
  </si>
  <si>
    <t>5.3</t>
  </si>
  <si>
    <t>5.5</t>
  </si>
  <si>
    <t>5.6</t>
  </si>
  <si>
    <t>6.1</t>
  </si>
  <si>
    <t>7.1</t>
  </si>
  <si>
    <t>8.1</t>
  </si>
  <si>
    <t>8.2</t>
  </si>
  <si>
    <t>8.3</t>
  </si>
  <si>
    <t>8.4</t>
  </si>
  <si>
    <t>9.1</t>
  </si>
  <si>
    <t>9.2</t>
  </si>
  <si>
    <t>10.1</t>
  </si>
  <si>
    <t>10.2</t>
  </si>
  <si>
    <t>11.1</t>
  </si>
  <si>
    <t>12.1</t>
  </si>
  <si>
    <t>12.2</t>
  </si>
  <si>
    <t>CABO DE COBRE FLEXÍVEL ISOLADO, 2,5 MM², ANTI-CHAMA 0,6/1,0 KV, PARA CIRCUITOS TERMINAIS - FORNECIMENTO E INSTALAÇÃO. AF_12/2015</t>
  </si>
  <si>
    <t>DISPOSITIVO DE PROTEÇÃO CONTRA SURTO DE TENSÃO DPS 40kA - 175v</t>
  </si>
  <si>
    <t xml:space="preserve">DISJUNTOR BIPOLAR DR 63A - DISPOSITIVO RESIDUAL DIFERENCIAL, TIPO AC, 30MA </t>
  </si>
  <si>
    <t>DUTO ESPIRAL FLEXIVEL SINGELO PEAD D=50MM(2") REVESTIDO COM PVC COM FIO GUIA DE ACO GALVANIZADO, LANCADO DIRETO NO SOLO, INCL CONEXOES</t>
  </si>
  <si>
    <t>73798/001</t>
  </si>
  <si>
    <t>14.3</t>
  </si>
  <si>
    <t>14.4</t>
  </si>
  <si>
    <t>14.5</t>
  </si>
  <si>
    <t>15.1</t>
  </si>
  <si>
    <t>15.2</t>
  </si>
  <si>
    <t>Instalações Elétricas</t>
  </si>
  <si>
    <t xml:space="preserve">                                       Fonte de valores:SINAPI - 06/2018-DESONERADO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</si>
  <si>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</si>
  <si>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</si>
  <si>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</si>
  <si>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                          Município: Santo Antonio do Leste - MT</t>
  </si>
  <si>
    <t xml:space="preserve">COMPOSIÇÕES DE VALORES </t>
  </si>
  <si>
    <t>INSUMOS E COMPOSIÇÕES / REF. SINAPI/MT - JUNHO/2018</t>
  </si>
  <si>
    <t>COMPOSIÇÃO 001</t>
  </si>
  <si>
    <t>ADMINISTRAÇÃO DA OBRA</t>
  </si>
  <si>
    <t>M2</t>
  </si>
  <si>
    <t>SINAPI
ou Cot. De Mercado</t>
  </si>
  <si>
    <t>COMPONENTES</t>
  </si>
  <si>
    <t>Quantidade</t>
  </si>
  <si>
    <t>Custos
Unit. (R$)</t>
  </si>
  <si>
    <t>Custos
Total (R$)</t>
  </si>
  <si>
    <t>M Ã O   D E   O B R A</t>
  </si>
  <si>
    <t>90776</t>
  </si>
  <si>
    <t xml:space="preserve">ENCARREGADO GERAL COM ENCARGOS COMPLEMENTARES </t>
  </si>
  <si>
    <t>H</t>
  </si>
  <si>
    <t>90777</t>
  </si>
  <si>
    <t>ENGENHEIRO CIVIL DE OBRA JUNIOR COM ENCARGOS COMPLEMENTARES</t>
  </si>
  <si>
    <t>**Composição baseada nas tabela SINAPI/JUNHO 2018, BASEADA  EM EXECUÇÃO CONFORME CRONOGRAMA DE OBRA</t>
  </si>
  <si>
    <t>TOTAL</t>
  </si>
  <si>
    <t>COMPOSIÇÃO 002</t>
  </si>
  <si>
    <t>Custos Unit. (R$)</t>
  </si>
  <si>
    <t>Custos Total (R$)</t>
  </si>
  <si>
    <t>M A T E R I A L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</si>
  <si>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</si>
  <si>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</si>
  <si>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PECA DE MADEIRA NATIVA/REGIONAL 2,5 X 7,0 CM (SARRAFO-P/FORMA)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</si>
  <si>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</si>
  <si>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</si>
  <si>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</si>
  <si>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</si>
  <si>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</si>
  <si>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</si>
  <si>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</si>
  <si>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</si>
  <si>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</si>
  <si>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</si>
  <si>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88316</t>
  </si>
  <si>
    <t>SERVENTE COM ENCARGOS COMPLEMENTARES</t>
  </si>
  <si>
    <t>* baseada na composição 07393/ORSE</t>
  </si>
  <si>
    <t>COMPOSIÇÃO 003</t>
  </si>
  <si>
    <t>DISPOSITIVO DPS CLASSE II, 1 POLO, TENSAO MAXIMA DE 175 V, CORRENTE MAXIMA DE *45* KA (TIPO AC)</t>
  </si>
  <si>
    <t>ELETRICISTA COM ENCARGOS COMPLEMENTARES</t>
  </si>
  <si>
    <t>* baseada na composição 08894/ORSE</t>
  </si>
  <si>
    <t>Disjuntor bipolar DR 63 A - Dispositivo residual diferencial, tipo AC, 30MA</t>
  </si>
  <si>
    <t>* baseada na composição 07997/ORSE</t>
  </si>
  <si>
    <t>m²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</si>
  <si>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</si>
  <si>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</si>
  <si>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</si>
  <si>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</si>
  <si>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</si>
  <si>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</si>
  <si>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TÊ DE REDUÇÃO, PVC, SOLDÁVEL, DN 50MM X 25MM, INSTALADO EM PRUMADA DE ÁGUA - FORNECIMENTO E INSTALAÇÃO. AF_12/2014</t>
  </si>
  <si>
    <t>SABONETEIRA PLASTICA TIPO DISPENSER PARA SABONETE LIQUIDO COM RESERVATORIO 800 A 1500 ML, INCLUSO FIXAÇÃO. AF_10/2016</t>
  </si>
  <si>
    <t>TANQUE SÉPTICO CIRCULAR, EM CONCRETO PRÉ-MOLDADO, DIÂMETRO INTERNO = 1,40 M, ALTURA INTERNA = 2,50 M, VOLUME ÚTIL: 3463,6 L (PARA 13 CONTRIBUINTES). AF_05/2018</t>
  </si>
  <si>
    <t>SUMIDOURO RETANGULAR, EM ALVENARIA COM TIJOLOS CERÂMICOS MACIÇOS, DIMENSÕES INTERNAS: 1,6 X 3,4 X 3,0 M, ÁREA DE INFILTRAÇÃO: 32,9 M² (PARA 13 CONTRIBUINTES). AF_05/2018</t>
  </si>
  <si>
    <t>pintura paredes externas</t>
  </si>
  <si>
    <t>reboco frontal</t>
  </si>
  <si>
    <t>chapisco frontal</t>
  </si>
  <si>
    <t>Sala 01</t>
  </si>
  <si>
    <t>Sala 02</t>
  </si>
  <si>
    <t>Sala 03</t>
  </si>
  <si>
    <t>Sala 04</t>
  </si>
  <si>
    <t>Sala 05</t>
  </si>
  <si>
    <t>Sala 06</t>
  </si>
  <si>
    <t>Sala 07</t>
  </si>
  <si>
    <t>Sala 08</t>
  </si>
  <si>
    <t>Sala 09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</si>
  <si>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</si>
  <si>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</si>
  <si>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</si>
  <si>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</si>
  <si>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</si>
  <si>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</si>
  <si>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</si>
  <si>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</si>
  <si>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</si>
  <si>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Total Interno</t>
  </si>
  <si>
    <t xml:space="preserve">Teto </t>
  </si>
  <si>
    <t>Total Teto</t>
  </si>
  <si>
    <t>Maior de 10m²</t>
  </si>
  <si>
    <t>Entre 5 a 10m²</t>
  </si>
  <si>
    <t>Menor que 5m²</t>
  </si>
  <si>
    <t>piso tatil</t>
  </si>
  <si>
    <t>COMPOSIÇÃO 08</t>
  </si>
  <si>
    <t>Perimetro</t>
  </si>
  <si>
    <t>Total Perimetro</t>
  </si>
  <si>
    <t>COMPOSIÇÃO 008</t>
  </si>
  <si>
    <t>Revestimento Ceramico</t>
  </si>
  <si>
    <t>Total Revestimento</t>
  </si>
  <si>
    <t>Area Menor que 5m²</t>
  </si>
  <si>
    <t>Area Maior que 5m²</t>
  </si>
  <si>
    <t>REVESTIMENTO CERÂMICO PARA PAREDES INTERNAS COM PLACAS TIPO ESMALTADA EXTRA DE DIMENSÕES 33X45 CM APLICADAS EM AMBIENTES DE ÁREA MAIOR QUE 5 M² NA ALTURA INTEIRA DAS PAREDES. AF_06/2014</t>
  </si>
  <si>
    <t>11.2</t>
  </si>
  <si>
    <t>VERGA MOLDADA IN LOCO EM CONCRETO PARA JANELAS COM ATÉ 1,5 M DE VÃO. AF_03/2016</t>
  </si>
  <si>
    <t>COMPOSIÇÃO 09</t>
  </si>
  <si>
    <t>9.3</t>
  </si>
  <si>
    <t>5.4</t>
  </si>
  <si>
    <t>VASO SANITARIO SIFONADO CONVENCIONAL PARA PCD SEM FURO FRONTAL COM LOUÇA BRANCA SEM ASSENTO, INCLUSO CONJUNTO DE LIGAÇÃO PARA BACIA SANITÁRIA AJUSTÁVEL - FORNECIMENTO E INSTALAÇÃO. AF_10/2016</t>
  </si>
  <si>
    <t>BARRA DE APOIO RETA, EM ACO INOX POLIDO, COMPRIMENTO 60CM, DIAMETRO MINIMO 3CM</t>
  </si>
  <si>
    <t>BARRA DE APOIO RETA, EM ACO INOX POLIDO, COMPRIMENTO 60CM, DIAMETRO MINIMO 3 CM</t>
  </si>
  <si>
    <t>* baseada na composição 12121/ORSE- JUNHO/2018</t>
  </si>
  <si>
    <t>BARRA DE APOIO RETA, EM ACO INOX POLIDO, COMPRIMENTO 80CM, DIAMETRO MINIMO 3 CM</t>
  </si>
  <si>
    <t>BARRA DE APOIO RETA, EM ACO INOX POLIDO, COMPRIMENTO 80CM, DIAMETRO MINIMO 3CM</t>
  </si>
  <si>
    <t>* baseada na composição 08492/ORSE- JUNHO/2018</t>
  </si>
  <si>
    <t>Composições Hidro-Sanitárias</t>
  </si>
  <si>
    <t>SINAPI ou Cot. De Mercado</t>
  </si>
  <si>
    <t>BANCADA GRANITO CINZA POLIDO 0,50 X 0,60M, INCL. CUBA DE EMBUTIR OVAL LOUÇA BRANCA 35 X 50CM, VÁLVULA METAL CROMADO, SIFÃO FLEXÍVEL PVC, ENGATE 30CM FLEXÍVEL PLÁSTICO E TORNEIRA CROMADA DE MESA, PADRÃO POPULAR- FORNEC. E INSTALAÇÃO. AF_12/2013</t>
  </si>
  <si>
    <t>TANQUE DE LOUÇA BRANCA COM COLUNA, 30L OU EQUIVALENTE, INCLUSO SIFÃO FLEXÍVEL EM PVC, VÁLVULA METÁLICA E TORNEIRA DE METAL CROMADO PADRÃO MÉDIO - FORNECIMENTO E INSTALAÇÃO. AF_12/2013</t>
  </si>
  <si>
    <t xml:space="preserve"> TUBO, PVC, SOLDÁVEL, DN 32MM, INSTALADO EM RAMAL OU SUB-RAMAL DE ÁGUA- FORNECIMENTO E INSTALAÇÃO. AF_12/2014</t>
  </si>
  <si>
    <t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</si>
  <si>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TUBO PVC, SERIE NORMAL, ESGOTO PREDIAL, DN 150 MM, FORNECIDO E INSTALADO EM SUBCOLETOR AÉREO DE ESGOTO SANITÁRIO. AF_12/2014</t>
  </si>
  <si>
    <t>JOELHO 90 GRAUS, PVC, SERIE NORMAL, ESGOTO PREDIAL, DN 100 MM, JUNTA ELÁSTICA, FORNECIDO E INSTALADO EM RAMAL DE DESCARGA OU RAMAL DE ESGOTO SANITÁRIO. AF_12/2014</t>
  </si>
  <si>
    <t>JOELHO 45 GRAUS, PVC, SERIE NORMAL, ESGOTO PREDIAL, DN 50 MM, JUNTA ELÁSTICA,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</si>
  <si>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</si>
  <si>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>CAIXA SIFONADA QUADRADA, COM SETE ENTRADAS E UMA SAIDA, d = 150 x 150 x 50mm, REF. nº26, ACABAMENTO EM ALUMINIO</t>
  </si>
  <si>
    <t>01696/ORSE</t>
  </si>
  <si>
    <t>JUNÇÃO SIMPLES, PVC, SERIE NORMAL, ESGOTO PREDIAL, DN 50 X 50 MM, JUNTA ELÁSTICA, FORNECIDO E INSTALADO EM RAMAL DE DESCARGA OU RAMAL DE ESGOTO SANITÁRIO. AF_12/2014</t>
  </si>
  <si>
    <t xml:space="preserve">             HIDRÁULICA</t>
  </si>
  <si>
    <t>http://www.fnde.gov.br/centrais-de-conteudos/publicacoes/category/130-proinfancia?download=10834:tipo-1-2017-dwg-projeto-arquitetonico</t>
  </si>
  <si>
    <t>REGISTRO DE GAVETA BRUTO, LATÃO, ROSCÁVEL, 1 1/2, COM ACABAMENTO E CANOPLA CROMADOS, INSTALADO EM RESERVAÇÃO DE ÁGUA DE EDIFICAÇÃO QUE POSSUA RESERVATÓRIO DE FIBRA/FIBROCIMENTO FORNECIMENTO E INSTALAÇÃO. AF_06/2016</t>
  </si>
  <si>
    <t>REGISTRO DE GAVETA BRUTO, LATÃO, ROSCÁVEL, 3/4", COM ACABAMENTO E CANOPLA CROMADOS. FORNECIDO E INSTALADO EM RAMAL DE ÁGUA. AF_12/2014</t>
  </si>
  <si>
    <t>01083/ORSE</t>
  </si>
  <si>
    <t>BUCHA DE REDUÇÃO LONGA DE PVC RÍGIDO SOLDÁVEL, MARRON, DIAMETRO = 50 x 25mm</t>
  </si>
  <si>
    <t>VALVULA DESCARGA 1.1/2" COM REGISTRO, ACABAMENTO EM METAL CROMADO - FORNECIMENTO E INSTALACAO</t>
  </si>
  <si>
    <t>ADAPTADOR CURTO COM BOLSA E ROSCA PARA REGISTRO, PVC, SOLDÁVEL, DN 25MM X 3/4, INSTALADO EM RAMAL OU SUB-RAMAL DE ÁGUA - FORNECIMENTO E INSTALAÇÃO. AF_12/2014</t>
  </si>
  <si>
    <t>ADAPTADOR CURTO COM BOLSA E ROSCA PARA REGISTRO, PVC, SOLDÁVEL, DN 50MM X 1.1/2, INSTALADO EM PRUMADA DE ÁGUA - FORNECIMENTO E INSTALAÇÃO.AF_12/2014</t>
  </si>
  <si>
    <t>FILTRO ANAERÓBIO RETANGULAR, EM ALVENARIA COM BLOCOS DE CONCRETO, DIMENSÕES INTERNAS: 1,2 X 1,8 X 1,67 M, VOLUME ÚTIL: 2592 L (PARA 13 CONTRIBUINTES). AF_05/2018</t>
  </si>
  <si>
    <t>PAPELEIRA DE PAREDE EM METAL CROMADO SEM TAMPA, INCLUSO FIXAÇÃO. AF_10/2016</t>
  </si>
  <si>
    <t>PORTA TOALHA ROSTO EM METAL CROMADO, TIPO ARGOLA, INCLUSO FIXAÇÃO. AF_ 10/2016</t>
  </si>
  <si>
    <t>DISJUNTOR MONOPOLAR TIPO DIN, CORRENTE NOMINAL DE 10A - FORNECIMENTO E INSTALAÇÃO. AF_04/2016</t>
  </si>
  <si>
    <t>12021/ORSE</t>
  </si>
  <si>
    <t>CAIXA ENTERRADA ELÉTRICA RETANGULAR, EM ALVENARIA COM TIJOLOS CERÂMICOS MACIÇOS, FUNDO COM BRITA, DIMENSÕES INTERNAS: 0,6X0,6X0,6 M. AF_05/2018</t>
  </si>
  <si>
    <t>13.1</t>
  </si>
  <si>
    <t>13.2</t>
  </si>
  <si>
    <t>16.1</t>
  </si>
  <si>
    <t>74125/001</t>
  </si>
  <si>
    <t xml:space="preserve">ESPELHO CRISTAL ESPESSURA 4MM, COM MOLDURA DE MADEIRA </t>
  </si>
  <si>
    <t>74073/001</t>
  </si>
  <si>
    <t xml:space="preserve">ALCAPAO EM FERRO 60X60CM, INCLUSO FERRAGENS </t>
  </si>
  <si>
    <t>APLICAÇÃO DE FUNDO SELADOR LÁTEX PVA EM PAREDES, UMA DEMÃO. AF_06/2014</t>
  </si>
  <si>
    <t>PINTURA ESMALTE BRILHANTE (2 DEMAOS) SOBRE SUPERFICIE METALICA, INCLUSIVE PROTECAO COM ZARCAO (1 DEMAO)</t>
  </si>
  <si>
    <t>COMPOSIÇÃO 009</t>
  </si>
  <si>
    <t>COMP. ELE 02</t>
  </si>
  <si>
    <t>COMP. ELE 03</t>
  </si>
  <si>
    <t>INSTALAÇÃO DE TESOURA (INTEIRA OU MEIA), EM AÇO, PARA VÃOS MAIORES OU IGUAIS A 6,0 M E MENORES QUE 8,0 M, INCLUSO IÇAMENTO. AF_12/2015</t>
  </si>
  <si>
    <t>TRAMA DE AÇO COMPOSTA POR TERÇAS PARA TELHADOS DE ATÉ 2 ÁGUAS PARA TELHA ONDULADA DE FIBROCIMENTO, METÁLICA, PLÁSTICA OU TERMOACÚSTICA, INCLUSO TRANSPORTE VERTICAL. AF_12/2015</t>
  </si>
  <si>
    <t>Serviços Finais</t>
  </si>
  <si>
    <t>SERVIÇOS FINAIS</t>
  </si>
  <si>
    <t>DATA:22/08/2018</t>
  </si>
  <si>
    <t xml:space="preserve">            Execução de Obras de Ampliação e Reforma da Escola Municipal de Educação Indigena-Aldeia Água Limpa</t>
  </si>
  <si>
    <t xml:space="preserve"> Local da Obra:Aldeia indigena Água Limpa                                                                                                                                          Coordenadas geograficas da Obra:Latitude 14°26'25.47"S - Longitude 53°28'52.67"O</t>
  </si>
  <si>
    <t>TUBO, PVC, SOLDÁVEL, DN 75MM, INSTALADO EM PRUMADA DE ÁGUA - FORNECIMENTO E INSTALAÇÃO. AF_12/2014</t>
  </si>
  <si>
    <t>JOELHO 90 GRAUS, PVC, SOLDÁVEL, DN 75MM, INSTALADO EM PRUMADA DE ÁGUA - FORNECIMENTO E INSTALAÇÃO. AF_12/2014</t>
  </si>
  <si>
    <t>TE, PVC, SOLDÁVEL, DN 75MM, INSTALADO EM PRUMADA DE ÁGUA - FORNECIMENTO E INSTALAÇÃO. AF_12/2014</t>
  </si>
  <si>
    <t>TE DE REDUÇÃO, PVC, SOLDÁVEL, DN 75MM X 50MM, INSTALADO EM PRUMADA DE ÁGUA - FORNECIMENTO E INSTALAÇÃO. AF_12/2014</t>
  </si>
  <si>
    <t>RALO SIFONADO, PVC, DN 100 X 40 MM, JUNTA SOLDÁVEL, FORNECIDO E INSTALADO EM RAMAL DE DESCARGA OU EM RAMAL DE ESGOTO SANITÁRIO. AF_12/2014</t>
  </si>
  <si>
    <t xml:space="preserve"> BACIA TURCA</t>
  </si>
  <si>
    <t>07898/ORSE</t>
  </si>
  <si>
    <t>SABONETEIRA DE PAREDE EM METAL CROMADO, INCLUSO FIXAÇÃO. AF_10/2016</t>
  </si>
  <si>
    <t>CUBA DE EMBUTIR OVAL EM LOUÇA BRANCA, 35 X 50CM OU EQUIVALENTE, INCLUSO VÁLVULA EM METAL CROMADO E SIFÃO FLEXÍVEL EM PVC - FORNECIMENTO E INSTALAÇÃO. AF_12/2013</t>
  </si>
  <si>
    <t>JOELHO 90 GRAUS, PVC, SERIE NORMAL, ESGOTO PREDIAL, DN 40 MM, JUNTA SOLDÁVEL, FORNECIDO E INSTALADO EM RAMAL DE DESCARGA OU RAMAL DE ESGOTOSANITÁRIO. AF_12/2014</t>
  </si>
  <si>
    <t>LUVA, PVC, SOLDÁVEL, DN 50MM, INSTALADO EM PRUMADA DE ÁGUA - FORNECIMENTO E INSTALAÇÃO. AF_12/201</t>
  </si>
  <si>
    <t>LUVA, PVC, SOLDÁVEL, DN 75MM, INSTALADO EM PRUMADA DE ÁGUA - FORNECIMENTO E INSTALAÇÃO. AF_12/2014</t>
  </si>
  <si>
    <t>BUCHA DE REDUÇÃO LONGA DE PVC RÍGIDO SOLDÁVEL, MARRON, DIAMETRO = 75 x 50mm</t>
  </si>
  <si>
    <t>01089/ORSE</t>
  </si>
  <si>
    <t>ADAPTADOR CURTO COM BOLSA E ROSCA PARA REGISTRO, PVC, SOLDÁVEL, DN 75MM X 2.1/2, INSTALADO EM PRUMADA DE ÁGUA - FORNECIMENTO E INSTALAÇÃO.AF_12/2014</t>
  </si>
  <si>
    <t>LUVA SOLDÁVEL E COM ROSCA, PVC, SOLDÁVEL, DN 25MM X 3/4, INSTALADO EM RAMAL OU SUB-RAMAL DE ÁGUA - FORNECIMENTO E INSTALAÇÃO. AF_12/2014</t>
  </si>
  <si>
    <t>TORNEIRA CROMADA DE MESA, 1/2" OU 3/4", PARA LAVATÓRIO, PADRÃO POPULAR - FORNECIMENTO E INSTALAÇÃO. AF_12/2013</t>
  </si>
  <si>
    <t>TORNEIRA CROMADA 1/2" OU 3/4" PARA TANQUE, PADRÃO MÉDIO - FORNECIMENTO E INSTALAÇÃO. AF_12/2013</t>
  </si>
  <si>
    <t>REGISTRO DE GAVETA BRUTO, LATÃO, ROSCÁVEL, 2 1/2, INSTALADO EM RESERVAÇÃO DE ÁGUA DE EDIFICAÇÃO QUE POSSUA RESERVATÓRIO DE FIBRA/FIBROCIMENTO FORNECIMENTO E INSTALAÇÃO. AF_06/2016</t>
  </si>
  <si>
    <t>REGISTRO DE ESFERA, PVC, SOLDÁVEL, DN 25 MM, INSTALADO EM RESERVAÇÃO DE ÁGUA DE EDIFICAÇÃO QUE POSSUA RESERVATÓRIO DE FIBRA/FIBROCIMENTO FORNECIMENTO E INSTALAÇÃO. AF_06/2016</t>
  </si>
  <si>
    <t>CHUVEIRO ELETRICO COMUM CORPO PLASTICO TIPO DUCHA, FORNECIMENTO E INSTALACAO</t>
  </si>
  <si>
    <t>73933/003</t>
  </si>
  <si>
    <t xml:space="preserve">PORTA DE FERRO TIPO VENEZIANA, DE ABRIR, SEM BANDEIRA SEM FERRAGENS </t>
  </si>
  <si>
    <t>JANELA DE AÇO DE CORRER, 4 FOLHAS, FIXAÇÃO COM ARGAMASSA, SEM VIDROS, PADRONIZADA. AF_07/2016</t>
  </si>
  <si>
    <t>JANELA DE AÇO BASCULANTE, FIXAÇÃO COM ARGAMASSA, SEM VIDROS, PADRONIZADA. AF_07/2016</t>
  </si>
  <si>
    <t>REGISTRO DE PRESSÃO BRUTO, LATÃO, ROSCÁVEL, 3/4", COM ACABAMENTO E CANOPLA CROMADOS. FORNECIDO E INSTALADO EM RAMAL DE ÁGUA. AF_12/2014</t>
  </si>
  <si>
    <t>PISO CIMENTADO, TRAÇO 1:3 (CIMENTO E AREIA), ACABAMENTO LISO, ESPESSURA 3,0 CM, PREPARO MECÂNICO DA ARGAMASSA. AF_06/2018</t>
  </si>
  <si>
    <t>ALVENARIA DE VEDAÇÃO DE BLOCOS CERÂMICOS FURADOS NA HORIZONTAL DE 9X19X19CM (ESPESSURA 9CM) DE PAREDES COM ÁREA LÍQUIDA MAIOR OU IGUAL A 6M² COM VÃOS E ARGAMASSA DE ASSENTAMENTO COM PREPARO MANUAL. AF_06/2014</t>
  </si>
  <si>
    <t>ARMAÇÃO DE BLOCO, VIGA BALDRAME OU SAPATA UTILIZANDO AÇO CA-50 DE 6,3MM - MONTAGEM. AF_06/2017</t>
  </si>
  <si>
    <t>74157/004</t>
  </si>
  <si>
    <t xml:space="preserve">LANCAMENTO/APLICACAO MANUAL DE CONCRETO EM FUNDACOES </t>
  </si>
  <si>
    <t>CABO DE COBRE FLEXÍVEL ISOLADO, 10 MM², ANTI-CHAMA 0,6/1,0 KV, PARA CIRCUITOS TERMINAIS - FORNECIMENTO E INSTALAÇÃO. AF_12/2015</t>
  </si>
  <si>
    <t>QUADRO DE DISTRIBUICAO DE ENERGIA EM CHAPA DE ACO GALVANIZADO, PARA 12 DISJUNTORES TERMOMAGNETICOS MONOPOLARES, COM BARRAMENTO TRIFASICO E NEUTRO - FORNECIMENTO E INSTALACAO</t>
  </si>
  <si>
    <t xml:space="preserve">VIDRO LISO COMUM TRANSPARENTE, ESPESSURA 4MM </t>
  </si>
  <si>
    <t>VERGA MOLDADA IN LOCO EM CONCRETO PARA PORTAS COM ATÉ 1,5 M DE VÃO. AF _03/2016</t>
  </si>
  <si>
    <t>79494/001</t>
  </si>
  <si>
    <t>PINTURA DE QUADRO ESCOLAR COM TINTA ESMALTE ACABAMENTO FOSCO, DUAS DEMAOS SOBRE MASSA ACRILICA</t>
  </si>
  <si>
    <t>PINTOR COM ENCARGOS COMPLEMENTARES</t>
  </si>
  <si>
    <t>88310</t>
  </si>
  <si>
    <t>L</t>
  </si>
  <si>
    <t>**Composição baseada nas tabela SINAPI-JUNHO/2018 COMPOSIÇÃO,88489 sendo  que a cotação esta por m²</t>
  </si>
  <si>
    <t>TINTA ESMALTE SINTÉTICO PREMIUN ACETINADO</t>
  </si>
  <si>
    <t xml:space="preserve">APLICAÇÃO MANUAL DE PINTURA COM TINTA ESMALTE SINTÉTICO PREMIUN ACETINADO EM PAREDES, DUAS DEMÃOS. </t>
  </si>
  <si>
    <t>SOLVENTE DILUENTE A BASE DE AGUARRAS</t>
  </si>
  <si>
    <t>INSTALAÇÃO DE TESOURA (INTEIRA OU MEIA), EM AÇO, PARA VÃOS MAIORES OU IGUAIS A 3,0 M E MENORES QUE 6,0 M, INCLUSO IÇAMENTO. AF_12/2015</t>
  </si>
  <si>
    <t>LUVA, PVC, SOLDÁVEL, DN 25MM, INSTALADO EM RAMAL OU SUB-RAMAL DE ÁGUA - FORNECIMENTO E INSTALAÇÃO. AF_12/2014</t>
  </si>
  <si>
    <t>ADAPTADOR COM FLANGES LIVRES, PVC, SOLDÁVEL, DN 75 MM X 2 1/2 , INSTALADO EM RESERVAÇÃO DE ÁGUA DE EDIFICAÇÃO QUE POSSUA RESERVATÓRIO DE FIBRA/FIBROCIMENTO FORNECIMENTO E INSTALAÇÃO. AF_06/2016</t>
  </si>
  <si>
    <t>BUCHA DE REDUÇÃO LONGA, PVC, SERIE R, ÁGUA PLUVIAL, DN 50 X 40 MM, JUNTA ELÁSTICA, FORNECIDO E INSTALADO EM RAMAL DE ENCAMINHAMENTO. AF_12/2014</t>
  </si>
  <si>
    <t>CAIXA SIFONADA, PVC, DN 100 X 100 X 50 MM, FORNECIDA E INSTALADA EM RAMAIS DE ENCAMINHAMENTO DE ÁGUA PLUVIAL. AF_12/2014</t>
  </si>
  <si>
    <t>CAIXA OCTOGONAL 3" X 3", PVC, INSTALADA EM LAJE - FORNECIMENTO E INSTALAÇÃO. AF_12/2015</t>
  </si>
  <si>
    <t>TOMADA ALTA DE EMBUTIR (1 MÓDULO), 2P+T 20 A, INCLUINDO SUPORTE E PLACA - FORNECIMENTO E INSTALAÇÃO. AF_12/2015</t>
  </si>
  <si>
    <t>CAIXA RETANGULAR 4" X 2" ALTA (2,00 M DO PISO), PVC, INSTALADA EM PAREDE - FORNECIMENTO E INSTALAÇÃO. AF_12/2015</t>
  </si>
  <si>
    <t>CABO DE COBRE FLEXÍVEL ISOLADO, 6 MM², ANTI-CHAMA 0,6/1,0 KV, PARA CIRCUITOS TERMINAIS - FORNECIMENTO E INSTALAÇÃO. AF_12/2015</t>
  </si>
  <si>
    <t>TOMADA BAIXA DE EMBUTIR (1 MÓDULO), 2P+T 10 A, INCLUINDO SUPORTE E PLA UN AS 16,81
CA - FORNECIMENTO E INSTALAÇÃO. AF_12/2015</t>
  </si>
  <si>
    <t>LUMINÁRIA DE EMBUTIR ABERTA PARA LAMPADA FLUORESCENTE OU TUBO DE LED 2 x 18/20W, COMPLETA</t>
  </si>
  <si>
    <t>DISJUNTOR MONOPOLAR TIPO DIN, CORRENTE NOMINAL DE 50A - FORNECIMENTO E INSTALAÇÃO. AF_04/2016</t>
  </si>
  <si>
    <t>ELETRODUTO FLEXÍVEL CORRUGADO, PVC, DN 32 MM (1"), PARA CIRCUITOS TERMINAIS, INSTALADO EM PAREDE - FORNECIMENTO E INSTALAÇÃO. AF_12/2015</t>
  </si>
  <si>
    <t>ELETRODUTO FLEXÍVEL CORRUGADO, PVC, DN 25 MM (3/4"), PARA CIRCUITOS TERMINAIS, INSTALADO EM PAREDE - FORNECIMENTO E INSTALAÇÃO. AF_12/2015</t>
  </si>
  <si>
    <t>5.7</t>
  </si>
  <si>
    <t>5.8</t>
  </si>
  <si>
    <t>10.3</t>
  </si>
  <si>
    <t>10.4</t>
  </si>
  <si>
    <t>14.1</t>
  </si>
  <si>
    <t>14.2</t>
  </si>
  <si>
    <t>DISJUNTOR BIPOLAR TIPO DIN, CORRENTE NOMINAL DE 50A - FORNECIMENTO E INSTALAÇÃO. AF_04/2016</t>
  </si>
  <si>
    <t>DEMOLIÇÃO DE ALVENARIA DE BLOCO FURADO, DE FORMA MANUAL, SEM REAPROVEITAMENTO. AF_12/2017</t>
  </si>
  <si>
    <t>REMOÇÃO DE PORTAS, DE FORMA MANUAL, SEM REAPROVEITAMENTO. AF_12/2017</t>
  </si>
  <si>
    <t>REMOÇÃO DE JANELAS, DE FORMA MANUAL, SEM REAPROVEITAMENTO. AF_12/2017</t>
  </si>
  <si>
    <t>REMOÇÃO DE TESOURAS DE MADEIRA, COM VÃO MENOR QUE 8M, DE FORMA MANUAL, SEM REAPROVEITAMENTO. AF_12/2017</t>
  </si>
  <si>
    <t>REMOÇÃO DE TRAMA DE MADEIRA PARA COBERTURA, DE FORMA MANUAL, SEM REAPROVEITAMENTO. AF_12/2017</t>
  </si>
  <si>
    <t>REMOÇÃO DE TELHAS, DE FIBROCIMENTO, METÁLICA E CERÂMICA, DE FORMA MANUAL, SEM REAPROVEITAMENTO. AF_12/2017</t>
  </si>
  <si>
    <t>2.4</t>
  </si>
  <si>
    <t>2.5</t>
  </si>
  <si>
    <t>2.6</t>
  </si>
  <si>
    <t>6.2</t>
  </si>
  <si>
    <t>6.3</t>
  </si>
  <si>
    <t>6.4</t>
  </si>
  <si>
    <t>6.6</t>
  </si>
  <si>
    <t>6.7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</si>
  <si>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</si>
  <si>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</si>
  <si>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</si>
  <si>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</si>
  <si>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</si>
  <si>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</si>
  <si>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</si>
  <si>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</si>
  <si>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</si>
  <si>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</si>
  <si>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</si>
  <si>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</si>
  <si>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</si>
  <si>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</si>
  <si>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</si>
  <si>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</si>
  <si>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</si>
  <si>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</si>
  <si>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DEMOLIÇÕES E RETIRADAS</t>
  </si>
  <si>
    <t>Demolições e  Retiradas</t>
  </si>
  <si>
    <t>Demolições e Retiradas</t>
  </si>
  <si>
    <t xml:space="preserve">  Execução de Obras de Ampliação e Reforma da Escola Municipal de Educação Indigena         Aldeia Água Limpa</t>
  </si>
  <si>
    <t xml:space="preserve">        Local da Obra:Aldeia indigena Água Limpa</t>
  </si>
  <si>
    <t xml:space="preserve"> Coordenadas geograficas da Obra:Latitude 14°26'25.47"S - Longitude 53°28'52.67"O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</si>
  <si>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EXECUÇÃO DE OBRAS DE AMPLIAÇÃO E REFORMA DA ESCOLA MUNICIPAL  DE EDUCAÇÃO INDIGENA -ALDEIA ÁGUA LIMPA</t>
    </r>
  </si>
  <si>
    <t>PREPARO DE FUNDO DE VALA COM LARGURA MENOR QUE 1,5M EM LOCAL COM NÍVEL BAIXO DE INTERFERÊNCIA. AF_06/2016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</si>
  <si>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</si>
  <si>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</si>
  <si>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SUBCOBERTURA COM MANTA PLÁSTICA REVESTIDA POR PELÍCULA DE ALUMÍNO, INCLUSO TRANSPORTE VERTICAL. AF_06/2016</t>
  </si>
  <si>
    <t>TELHAMENTO COM TELHA ONDULADA DE FIBROCIMENTO E = 6 MM, COM RECOBRIMENTO LATERAL DE 1/4 DE ONDA PARA TELHADO COM INCLINAÇÃO MAIOR QUE 10°, COM ATÉ 2 ÁGUAS, INCLUSO IÇAMENTO.AF_06/2016</t>
  </si>
  <si>
    <t>10.5</t>
  </si>
  <si>
    <t>FORRO</t>
  </si>
  <si>
    <t>FORRO EM RÉGUAS DE PVC, FRISADO, PARA AMBIENTES RESIDENCIAIS, INCLUSIVE ESTRUTURA DE FIXAÇÃO. AF_05/2017_P</t>
  </si>
  <si>
    <t>ACABAMENTOS PARA FORRO (RODA-FORRO EM PERFIL METÁLICO E PLÁSTICO). AF_ 05/2017</t>
  </si>
  <si>
    <t>12.3</t>
  </si>
  <si>
    <t>12.4</t>
  </si>
  <si>
    <t>12.5</t>
  </si>
  <si>
    <t>12.6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</si>
  <si>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</si>
  <si>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</si>
  <si>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</si>
  <si>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</si>
  <si>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</si>
  <si>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</si>
  <si>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</si>
  <si>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</si>
  <si>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</si>
  <si>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</si>
  <si>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</si>
  <si>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</si>
  <si>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</si>
  <si>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</si>
  <si>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</si>
  <si>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</si>
  <si>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</si>
  <si>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</si>
  <si>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</si>
  <si>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</si>
  <si>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</si>
  <si>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</si>
  <si>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</si>
  <si>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</si>
  <si>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</si>
  <si>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</si>
  <si>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</si>
  <si>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</si>
  <si>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</si>
  <si>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</si>
  <si>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</si>
  <si>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</si>
  <si>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</si>
  <si>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</si>
  <si>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</si>
  <si>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</si>
  <si>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</si>
  <si>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</si>
  <si>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</si>
  <si>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</si>
  <si>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</si>
  <si>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</si>
  <si>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</si>
  <si>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</si>
  <si>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</si>
  <si>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</si>
  <si>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</si>
  <si>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</si>
  <si>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</si>
  <si>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</si>
  <si>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</si>
  <si>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</si>
  <si>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</si>
  <si>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</si>
  <si>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</si>
  <si>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</si>
  <si>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</si>
  <si>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</si>
  <si>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</si>
  <si>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</si>
  <si>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</si>
  <si>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</si>
  <si>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17.1</t>
  </si>
  <si>
    <t>Forro</t>
  </si>
  <si>
    <t>CUMEEIRA PARA TELHA DE FIBROCIMENTO ONDULADA E = 6 MM, INCLUSO ACESSÓRIOS DE FIXAÇÃO E IÇAMENTO. AF_06/2016</t>
  </si>
  <si>
    <t xml:space="preserve">IMPORTA O PRESENTE ORÇAMENTO EM R$- CENTO E NOVENTA E CINCO MIL, CENTO E TRINTA E DOIS REAIS, E VINTE E SETE CENTAVOS </t>
  </si>
</sst>
</file>

<file path=xl/styles.xml><?xml version="1.0" encoding="utf-8"?>
<styleSheet xmlns="http://schemas.openxmlformats.org/spreadsheetml/2006/main">
  <numFmts count="6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sz val="13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9"/>
        <bgColor indexed="8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5">
    <xf numFmtId="0" fontId="0" fillId="0" borderId="0"/>
    <xf numFmtId="0" fontId="20" fillId="0" borderId="0"/>
    <xf numFmtId="0" fontId="20" fillId="0" borderId="0"/>
    <xf numFmtId="0" fontId="19" fillId="0" borderId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28" fillId="0" borderId="0"/>
    <xf numFmtId="0" fontId="2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3" fillId="0" borderId="0"/>
  </cellStyleXfs>
  <cellXfs count="496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0" fillId="0" borderId="0" xfId="0" applyBorder="1" applyAlignment="1">
      <alignment horizontal="left" vertical="center" wrapText="1"/>
    </xf>
    <xf numFmtId="0" fontId="8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2" fillId="0" borderId="0" xfId="0" applyFont="1" applyFill="1"/>
    <xf numFmtId="2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6" fillId="5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0" applyFont="1" applyBorder="1"/>
    <xf numFmtId="0" fontId="15" fillId="0" borderId="2" xfId="0" applyFont="1" applyBorder="1"/>
    <xf numFmtId="0" fontId="8" fillId="0" borderId="2" xfId="0" applyFont="1" applyBorder="1"/>
    <xf numFmtId="165" fontId="15" fillId="0" borderId="2" xfId="0" applyNumberFormat="1" applyFont="1" applyBorder="1"/>
    <xf numFmtId="0" fontId="6" fillId="0" borderId="3" xfId="0" applyFont="1" applyBorder="1"/>
    <xf numFmtId="0" fontId="15" fillId="0" borderId="3" xfId="0" applyFont="1" applyBorder="1"/>
    <xf numFmtId="0" fontId="18" fillId="0" borderId="4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0" fontId="15" fillId="0" borderId="6" xfId="34" applyNumberFormat="1" applyFont="1" applyBorder="1"/>
    <xf numFmtId="10" fontId="15" fillId="0" borderId="4" xfId="34" applyNumberFormat="1" applyFont="1" applyBorder="1"/>
    <xf numFmtId="165" fontId="15" fillId="0" borderId="8" xfId="50" applyFont="1" applyBorder="1"/>
    <xf numFmtId="165" fontId="15" fillId="0" borderId="7" xfId="50" applyFont="1" applyBorder="1"/>
    <xf numFmtId="165" fontId="15" fillId="0" borderId="4" xfId="50" applyFont="1" applyBorder="1"/>
    <xf numFmtId="165" fontId="15" fillId="3" borderId="1" xfId="50" applyFont="1" applyFill="1" applyBorder="1"/>
    <xf numFmtId="165" fontId="15" fillId="4" borderId="4" xfId="50" applyFont="1" applyFill="1" applyBorder="1"/>
    <xf numFmtId="10" fontId="15" fillId="0" borderId="9" xfId="34" applyNumberFormat="1" applyFont="1" applyFill="1" applyBorder="1"/>
    <xf numFmtId="10" fontId="15" fillId="0" borderId="5" xfId="34" applyNumberFormat="1" applyFont="1" applyFill="1" applyBorder="1"/>
    <xf numFmtId="165" fontId="15" fillId="3" borderId="10" xfId="50" applyFont="1" applyFill="1" applyBorder="1"/>
    <xf numFmtId="10" fontId="15" fillId="3" borderId="1" xfId="34" applyNumberFormat="1" applyFont="1" applyFill="1" applyBorder="1"/>
    <xf numFmtId="10" fontId="15" fillId="0" borderId="5" xfId="34" applyNumberFormat="1" applyFont="1" applyBorder="1"/>
    <xf numFmtId="10" fontId="15" fillId="0" borderId="11" xfId="34" applyNumberFormat="1" applyFont="1" applyBorder="1"/>
    <xf numFmtId="10" fontId="15" fillId="4" borderId="5" xfId="34" applyNumberFormat="1" applyFont="1" applyFill="1" applyBorder="1"/>
    <xf numFmtId="10" fontId="15" fillId="4" borderId="11" xfId="34" applyNumberFormat="1" applyFont="1" applyFill="1" applyBorder="1"/>
    <xf numFmtId="165" fontId="15" fillId="0" borderId="11" xfId="50" applyFont="1" applyFill="1" applyBorder="1"/>
    <xf numFmtId="165" fontId="15" fillId="0" borderId="11" xfId="50" applyFont="1" applyBorder="1"/>
    <xf numFmtId="165" fontId="15" fillId="0" borderId="12" xfId="50" applyFont="1" applyFill="1" applyBorder="1"/>
    <xf numFmtId="10" fontId="15" fillId="4" borderId="12" xfId="34" applyNumberFormat="1" applyFont="1" applyFill="1" applyBorder="1"/>
    <xf numFmtId="165" fontId="18" fillId="0" borderId="7" xfId="50" applyFont="1" applyBorder="1"/>
    <xf numFmtId="9" fontId="18" fillId="0" borderId="1" xfId="34" applyNumberFormat="1" applyFont="1" applyBorder="1" applyAlignment="1">
      <alignment horizontal="center"/>
    </xf>
    <xf numFmtId="165" fontId="18" fillId="0" borderId="1" xfId="50" applyFont="1" applyBorder="1" applyAlignment="1">
      <alignment horizontal="center"/>
    </xf>
    <xf numFmtId="165" fontId="15" fillId="0" borderId="1" xfId="0" applyNumberFormat="1" applyFont="1" applyBorder="1"/>
    <xf numFmtId="0" fontId="18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6" fillId="5" borderId="1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vertical="center" wrapText="1"/>
    </xf>
    <xf numFmtId="0" fontId="0" fillId="0" borderId="0" xfId="0" applyBorder="1"/>
    <xf numFmtId="4" fontId="6" fillId="5" borderId="1" xfId="0" applyNumberFormat="1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 vertical="center" wrapText="1"/>
    </xf>
    <xf numFmtId="4" fontId="11" fillId="6" borderId="0" xfId="0" applyNumberFormat="1" applyFont="1" applyFill="1" applyBorder="1" applyAlignment="1">
      <alignment horizontal="center" vertical="center" wrapText="1"/>
    </xf>
    <xf numFmtId="4" fontId="11" fillId="6" borderId="0" xfId="0" applyNumberFormat="1" applyFont="1" applyFill="1" applyBorder="1" applyAlignment="1">
      <alignment horizontal="center" vertical="center"/>
    </xf>
    <xf numFmtId="4" fontId="8" fillId="6" borderId="0" xfId="0" applyNumberFormat="1" applyFont="1" applyFill="1" applyBorder="1" applyAlignment="1">
      <alignment horizontal="right" vertical="center"/>
    </xf>
    <xf numFmtId="4" fontId="8" fillId="6" borderId="0" xfId="45" applyNumberFormat="1" applyFont="1" applyFill="1" applyBorder="1" applyAlignment="1">
      <alignment vertical="center"/>
    </xf>
    <xf numFmtId="4" fontId="6" fillId="6" borderId="0" xfId="0" applyNumberFormat="1" applyFont="1" applyFill="1" applyBorder="1" applyAlignment="1">
      <alignment horizontal="right" vertical="center"/>
    </xf>
    <xf numFmtId="0" fontId="8" fillId="5" borderId="0" xfId="0" applyNumberFormat="1" applyFont="1" applyFill="1" applyBorder="1" applyAlignment="1">
      <alignment horizontal="center" vertical="center"/>
    </xf>
    <xf numFmtId="0" fontId="6" fillId="5" borderId="0" xfId="0" quotePrefix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 wrapText="1"/>
    </xf>
    <xf numFmtId="4" fontId="8" fillId="5" borderId="0" xfId="45" applyNumberFormat="1" applyFont="1" applyFill="1" applyBorder="1" applyAlignment="1">
      <alignment vertical="center"/>
    </xf>
    <xf numFmtId="0" fontId="0" fillId="5" borderId="1" xfId="0" applyNumberForma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23" fillId="0" borderId="0" xfId="24" applyFont="1" applyBorder="1"/>
    <xf numFmtId="4" fontId="8" fillId="0" borderId="0" xfId="45" applyNumberFormat="1" applyFont="1" applyFill="1" applyBorder="1" applyAlignment="1">
      <alignment vertical="center"/>
    </xf>
    <xf numFmtId="0" fontId="14" fillId="5" borderId="1" xfId="0" applyNumberFormat="1" applyFont="1" applyFill="1" applyBorder="1" applyAlignment="1">
      <alignment horizontal="center" vertical="center" wrapText="1"/>
    </xf>
    <xf numFmtId="10" fontId="15" fillId="0" borderId="7" xfId="34" applyNumberFormat="1" applyFont="1" applyBorder="1"/>
    <xf numFmtId="10" fontId="15" fillId="0" borderId="12" xfId="34" applyNumberFormat="1" applyFont="1" applyFill="1" applyBorder="1"/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165" fontId="15" fillId="0" borderId="23" xfId="50" applyFont="1" applyBorder="1"/>
    <xf numFmtId="165" fontId="15" fillId="0" borderId="22" xfId="50" applyFont="1" applyBorder="1"/>
    <xf numFmtId="0" fontId="18" fillId="4" borderId="17" xfId="0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8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3" fillId="8" borderId="0" xfId="24" applyFont="1" applyFill="1" applyBorder="1"/>
    <xf numFmtId="4" fontId="8" fillId="8" borderId="0" xfId="45" applyNumberFormat="1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167" fontId="23" fillId="8" borderId="0" xfId="24" applyNumberFormat="1" applyFont="1" applyFill="1" applyBorder="1"/>
    <xf numFmtId="0" fontId="13" fillId="8" borderId="0" xfId="0" applyFont="1" applyFill="1" applyAlignment="1">
      <alignment vertical="center"/>
    </xf>
    <xf numFmtId="0" fontId="8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2" fillId="8" borderId="0" xfId="0" applyFont="1" applyFill="1" applyAlignment="1">
      <alignment vertical="center" wrapText="1"/>
    </xf>
    <xf numFmtId="0" fontId="6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2" fillId="8" borderId="0" xfId="0" applyFont="1" applyFill="1"/>
    <xf numFmtId="0" fontId="0" fillId="2" borderId="0" xfId="0" applyFill="1" applyBorder="1"/>
    <xf numFmtId="0" fontId="2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1" fillId="7" borderId="0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vertical="center"/>
    </xf>
    <xf numFmtId="10" fontId="8" fillId="7" borderId="0" xfId="0" applyNumberFormat="1" applyFont="1" applyFill="1" applyBorder="1" applyAlignment="1">
      <alignment horizontal="right" vertical="center"/>
    </xf>
    <xf numFmtId="4" fontId="8" fillId="7" borderId="0" xfId="0" applyNumberFormat="1" applyFont="1" applyFill="1" applyBorder="1" applyAlignment="1">
      <alignment vertical="center"/>
    </xf>
    <xf numFmtId="10" fontId="6" fillId="7" borderId="0" xfId="0" applyNumberFormat="1" applyFont="1" applyFill="1" applyBorder="1" applyAlignment="1">
      <alignment horizontal="right" vertical="center"/>
    </xf>
    <xf numFmtId="4" fontId="6" fillId="7" borderId="0" xfId="0" applyNumberFormat="1" applyFont="1" applyFill="1" applyBorder="1" applyAlignment="1">
      <alignment vertical="center"/>
    </xf>
    <xf numFmtId="10" fontId="8" fillId="8" borderId="0" xfId="0" applyNumberFormat="1" applyFont="1" applyFill="1" applyBorder="1" applyAlignment="1">
      <alignment horizontal="right" vertical="center"/>
    </xf>
    <xf numFmtId="4" fontId="8" fillId="8" borderId="0" xfId="0" applyNumberFormat="1" applyFont="1" applyFill="1" applyBorder="1" applyAlignment="1">
      <alignment vertical="center"/>
    </xf>
    <xf numFmtId="10" fontId="6" fillId="5" borderId="0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vertical="center"/>
    </xf>
    <xf numFmtId="4" fontId="17" fillId="7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vertical="center" wrapText="1"/>
    </xf>
    <xf numFmtId="10" fontId="8" fillId="9" borderId="0" xfId="0" applyNumberFormat="1" applyFont="1" applyFill="1" applyBorder="1" applyAlignment="1">
      <alignment horizontal="right" vertical="center"/>
    </xf>
    <xf numFmtId="4" fontId="8" fillId="9" borderId="0" xfId="0" applyNumberFormat="1" applyFont="1" applyFill="1" applyBorder="1" applyAlignment="1">
      <alignment vertical="center"/>
    </xf>
    <xf numFmtId="4" fontId="8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2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6" fillId="11" borderId="32" xfId="25" applyFont="1" applyFill="1" applyBorder="1" applyAlignment="1">
      <alignment horizontal="center" vertical="center"/>
    </xf>
    <xf numFmtId="0" fontId="6" fillId="11" borderId="15" xfId="24" applyFont="1" applyFill="1" applyBorder="1" applyAlignment="1">
      <alignment horizontal="center" vertical="center" wrapText="1"/>
    </xf>
    <xf numFmtId="0" fontId="6" fillId="0" borderId="34" xfId="24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49" fontId="8" fillId="0" borderId="34" xfId="25" applyNumberFormat="1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horizontal="left" wrapText="1"/>
    </xf>
    <xf numFmtId="0" fontId="8" fillId="0" borderId="1" xfId="25" applyFont="1" applyBorder="1" applyAlignment="1">
      <alignment horizontal="center" wrapText="1"/>
    </xf>
    <xf numFmtId="165" fontId="31" fillId="0" borderId="1" xfId="52" applyFont="1" applyFill="1" applyBorder="1" applyAlignment="1" applyProtection="1">
      <alignment horizontal="center"/>
    </xf>
    <xf numFmtId="165" fontId="31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8" fillId="5" borderId="35" xfId="0" applyFont="1" applyFill="1" applyBorder="1" applyAlignment="1">
      <alignment horizontal="left" wrapText="1"/>
    </xf>
    <xf numFmtId="0" fontId="8" fillId="5" borderId="35" xfId="0" applyFont="1" applyFill="1" applyBorder="1" applyAlignment="1">
      <alignment horizontal="center"/>
    </xf>
    <xf numFmtId="165" fontId="31" fillId="0" borderId="35" xfId="52" applyFont="1" applyFill="1" applyBorder="1" applyAlignment="1">
      <alignment horizontal="center"/>
    </xf>
    <xf numFmtId="4" fontId="0" fillId="0" borderId="36" xfId="0" applyNumberFormat="1" applyFill="1" applyBorder="1" applyAlignment="1">
      <alignment horizontal="right"/>
    </xf>
    <xf numFmtId="165" fontId="11" fillId="13" borderId="27" xfId="52" applyFont="1" applyFill="1" applyBorder="1" applyAlignment="1">
      <alignment horizontal="right" vertical="center"/>
    </xf>
    <xf numFmtId="4" fontId="7" fillId="13" borderId="19" xfId="8" applyNumberFormat="1" applyFont="1" applyFill="1" applyBorder="1" applyAlignment="1">
      <alignment horizontal="right" vertical="center"/>
    </xf>
    <xf numFmtId="0" fontId="22" fillId="0" borderId="0" xfId="24" applyFont="1" applyBorder="1"/>
    <xf numFmtId="49" fontId="22" fillId="0" borderId="0" xfId="24" applyNumberFormat="1" applyFont="1" applyBorder="1" applyAlignment="1">
      <alignment horizontal="center"/>
    </xf>
    <xf numFmtId="0" fontId="6" fillId="10" borderId="32" xfId="0" applyFont="1" applyFill="1" applyBorder="1" applyAlignment="1">
      <alignment horizontal="center" vertical="center"/>
    </xf>
    <xf numFmtId="4" fontId="6" fillId="10" borderId="15" xfId="0" applyNumberFormat="1" applyFont="1" applyFill="1" applyBorder="1" applyAlignment="1">
      <alignment horizontal="center" vertical="center"/>
    </xf>
    <xf numFmtId="0" fontId="6" fillId="0" borderId="34" xfId="25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69" fontId="0" fillId="0" borderId="7" xfId="44" applyNumberFormat="1" applyFont="1" applyFill="1" applyBorder="1"/>
    <xf numFmtId="165" fontId="0" fillId="0" borderId="7" xfId="44" applyFont="1" applyFill="1" applyBorder="1"/>
    <xf numFmtId="165" fontId="0" fillId="0" borderId="39" xfId="44" applyFont="1" applyBorder="1"/>
    <xf numFmtId="0" fontId="8" fillId="0" borderId="3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169" fontId="0" fillId="0" borderId="1" xfId="44" applyNumberFormat="1" applyFont="1" applyFill="1" applyBorder="1"/>
    <xf numFmtId="165" fontId="0" fillId="0" borderId="1" xfId="44" applyFont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49" fontId="8" fillId="5" borderId="34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49" fontId="8" fillId="5" borderId="40" xfId="0" applyNumberFormat="1" applyFont="1" applyFill="1" applyBorder="1" applyAlignment="1">
      <alignment horizontal="center"/>
    </xf>
    <xf numFmtId="0" fontId="0" fillId="0" borderId="35" xfId="0" applyFill="1" applyBorder="1" applyAlignment="1">
      <alignment horizontal="left"/>
    </xf>
    <xf numFmtId="2" fontId="0" fillId="5" borderId="35" xfId="0" applyNumberFormat="1" applyFill="1" applyBorder="1" applyAlignment="1">
      <alignment horizontal="right"/>
    </xf>
    <xf numFmtId="4" fontId="0" fillId="5" borderId="35" xfId="0" applyNumberFormat="1" applyFill="1" applyBorder="1" applyAlignment="1">
      <alignment horizontal="right"/>
    </xf>
    <xf numFmtId="4" fontId="0" fillId="5" borderId="36" xfId="0" applyNumberFormat="1" applyFill="1" applyBorder="1" applyAlignment="1">
      <alignment horizontal="right"/>
    </xf>
    <xf numFmtId="165" fontId="7" fillId="13" borderId="28" xfId="52" applyFont="1" applyFill="1" applyBorder="1" applyAlignment="1">
      <alignment horizontal="right" vertical="center"/>
    </xf>
    <xf numFmtId="4" fontId="7" fillId="13" borderId="29" xfId="8" applyNumberFormat="1" applyFont="1" applyFill="1" applyBorder="1" applyAlignment="1">
      <alignment horizontal="right" vertical="center"/>
    </xf>
    <xf numFmtId="49" fontId="8" fillId="0" borderId="34" xfId="25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9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5" borderId="5" xfId="0" applyNumberFormat="1" applyFill="1" applyBorder="1" applyAlignment="1">
      <alignment horizontal="right"/>
    </xf>
    <xf numFmtId="169" fontId="0" fillId="0" borderId="1" xfId="44" applyNumberFormat="1" applyFont="1" applyBorder="1" applyAlignment="1">
      <alignment horizontal="center" vertical="center"/>
    </xf>
    <xf numFmtId="165" fontId="0" fillId="0" borderId="1" xfId="44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8" borderId="0" xfId="0" applyFont="1" applyFill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165" fontId="7" fillId="0" borderId="26" xfId="52" applyFont="1" applyFill="1" applyBorder="1" applyAlignment="1">
      <alignment horizontal="right" vertical="center"/>
    </xf>
    <xf numFmtId="4" fontId="7" fillId="0" borderId="26" xfId="8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wrapText="1"/>
    </xf>
    <xf numFmtId="2" fontId="0" fillId="0" borderId="1" xfId="0" applyNumberFormat="1" applyBorder="1"/>
    <xf numFmtId="0" fontId="8" fillId="16" borderId="1" xfId="0" applyFont="1" applyFill="1" applyBorder="1"/>
    <xf numFmtId="0" fontId="8" fillId="16" borderId="1" xfId="0" applyFont="1" applyFill="1" applyBorder="1" applyAlignment="1">
      <alignment horizontal="right"/>
    </xf>
    <xf numFmtId="0" fontId="0" fillId="16" borderId="1" xfId="0" applyFill="1" applyBorder="1"/>
    <xf numFmtId="2" fontId="0" fillId="16" borderId="1" xfId="0" applyNumberFormat="1" applyFill="1" applyBorder="1"/>
    <xf numFmtId="2" fontId="8" fillId="16" borderId="1" xfId="0" applyNumberFormat="1" applyFont="1" applyFill="1" applyBorder="1"/>
    <xf numFmtId="0" fontId="6" fillId="16" borderId="1" xfId="0" applyFont="1" applyFill="1" applyBorder="1"/>
    <xf numFmtId="0" fontId="8" fillId="15" borderId="1" xfId="0" applyFont="1" applyFill="1" applyBorder="1"/>
    <xf numFmtId="0" fontId="0" fillId="15" borderId="1" xfId="0" applyFill="1" applyBorder="1"/>
    <xf numFmtId="0" fontId="8" fillId="15" borderId="1" xfId="0" applyFont="1" applyFill="1" applyBorder="1" applyAlignment="1">
      <alignment horizontal="right"/>
    </xf>
    <xf numFmtId="2" fontId="0" fillId="15" borderId="1" xfId="0" applyNumberFormat="1" applyFill="1" applyBorder="1"/>
    <xf numFmtId="0" fontId="8" fillId="8" borderId="1" xfId="0" applyFont="1" applyFill="1" applyBorder="1"/>
    <xf numFmtId="0" fontId="0" fillId="8" borderId="1" xfId="0" applyFill="1" applyBorder="1"/>
    <xf numFmtId="0" fontId="8" fillId="8" borderId="1" xfId="0" applyFont="1" applyFill="1" applyBorder="1" applyAlignment="1">
      <alignment horizontal="right"/>
    </xf>
    <xf numFmtId="2" fontId="0" fillId="8" borderId="1" xfId="0" applyNumberFormat="1" applyFill="1" applyBorder="1"/>
    <xf numFmtId="0" fontId="0" fillId="14" borderId="1" xfId="0" applyFill="1" applyBorder="1"/>
    <xf numFmtId="0" fontId="8" fillId="14" borderId="1" xfId="0" applyFont="1" applyFill="1" applyBorder="1"/>
    <xf numFmtId="2" fontId="0" fillId="14" borderId="1" xfId="0" applyNumberFormat="1" applyFill="1" applyBorder="1"/>
    <xf numFmtId="2" fontId="6" fillId="14" borderId="1" xfId="0" applyNumberFormat="1" applyFont="1" applyFill="1" applyBorder="1"/>
    <xf numFmtId="2" fontId="8" fillId="14" borderId="1" xfId="0" applyNumberFormat="1" applyFont="1" applyFill="1" applyBorder="1"/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3" fillId="0" borderId="26" xfId="32" applyNumberFormat="1" applyFont="1" applyBorder="1" applyAlignment="1">
      <alignment horizontal="left"/>
    </xf>
    <xf numFmtId="0" fontId="0" fillId="0" borderId="26" xfId="0" applyBorder="1" applyAlignment="1">
      <alignment horizontal="left"/>
    </xf>
    <xf numFmtId="0" fontId="6" fillId="5" borderId="1" xfId="0" quotePrefix="1" applyFont="1" applyFill="1" applyBorder="1" applyAlignment="1">
      <alignment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34" fillId="17" borderId="1" xfId="64" applyFont="1" applyFill="1" applyBorder="1" applyAlignment="1">
      <alignment horizontal="left" vertical="center" wrapText="1"/>
    </xf>
    <xf numFmtId="0" fontId="34" fillId="17" borderId="1" xfId="64" applyFont="1" applyFill="1" applyBorder="1" applyAlignment="1">
      <alignment horizontal="center" vertical="center" wrapText="1"/>
    </xf>
    <xf numFmtId="0" fontId="8" fillId="0" borderId="1" xfId="25" applyFont="1" applyBorder="1" applyAlignment="1">
      <alignment horizontal="center" vertical="center" wrapText="1"/>
    </xf>
    <xf numFmtId="165" fontId="31" fillId="0" borderId="1" xfId="52" applyFont="1" applyFill="1" applyBorder="1" applyAlignment="1" applyProtection="1">
      <alignment horizontal="center" vertical="center"/>
    </xf>
    <xf numFmtId="165" fontId="31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8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/>
    </xf>
    <xf numFmtId="4" fontId="8" fillId="5" borderId="9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168" fontId="0" fillId="5" borderId="0" xfId="0" applyNumberFormat="1" applyFill="1" applyBorder="1"/>
    <xf numFmtId="4" fontId="0" fillId="5" borderId="0" xfId="0" applyNumberFormat="1" applyFill="1" applyBorder="1" applyAlignment="1">
      <alignment horizontal="center"/>
    </xf>
    <xf numFmtId="0" fontId="6" fillId="5" borderId="20" xfId="0" quotePrefix="1" applyFont="1" applyFill="1" applyBorder="1" applyAlignment="1">
      <alignment horizontal="center" vertical="center" wrapText="1"/>
    </xf>
    <xf numFmtId="0" fontId="23" fillId="8" borderId="0" xfId="24" applyFont="1" applyFill="1" applyBorder="1"/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4" fontId="6" fillId="5" borderId="1" xfId="0" applyNumberFormat="1" applyFont="1" applyFill="1" applyBorder="1" applyAlignment="1">
      <alignment vertical="center"/>
    </xf>
    <xf numFmtId="0" fontId="6" fillId="5" borderId="18" xfId="0" quotePrefix="1" applyFont="1" applyFill="1" applyBorder="1" applyAlignment="1">
      <alignment horizontal="center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vertical="center"/>
    </xf>
    <xf numFmtId="0" fontId="8" fillId="5" borderId="6" xfId="0" applyFont="1" applyFill="1" applyBorder="1"/>
    <xf numFmtId="0" fontId="0" fillId="5" borderId="11" xfId="0" applyFill="1" applyBorder="1"/>
    <xf numFmtId="0" fontId="0" fillId="5" borderId="8" xfId="0" applyFill="1" applyBorder="1"/>
    <xf numFmtId="0" fontId="8" fillId="5" borderId="3" xfId="0" applyFont="1" applyFill="1" applyBorder="1"/>
    <xf numFmtId="0" fontId="0" fillId="5" borderId="3" xfId="0" applyFill="1" applyBorder="1" applyAlignment="1">
      <alignment horizontal="center"/>
    </xf>
    <xf numFmtId="168" fontId="0" fillId="5" borderId="3" xfId="0" applyNumberFormat="1" applyFill="1" applyBorder="1"/>
    <xf numFmtId="4" fontId="0" fillId="5" borderId="3" xfId="0" applyNumberFormat="1" applyFill="1" applyBorder="1" applyAlignment="1">
      <alignment horizontal="center"/>
    </xf>
    <xf numFmtId="0" fontId="0" fillId="5" borderId="3" xfId="0" applyFill="1" applyBorder="1"/>
    <xf numFmtId="0" fontId="0" fillId="5" borderId="24" xfId="0" applyFill="1" applyBorder="1"/>
    <xf numFmtId="0" fontId="6" fillId="0" borderId="38" xfId="25" applyFont="1" applyFill="1" applyBorder="1" applyAlignment="1">
      <alignment horizontal="center" vertical="center" wrapText="1"/>
    </xf>
    <xf numFmtId="0" fontId="6" fillId="10" borderId="42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8" fillId="0" borderId="0" xfId="25" applyFont="1" applyBorder="1"/>
    <xf numFmtId="0" fontId="0" fillId="0" borderId="14" xfId="0" applyBorder="1"/>
    <xf numFmtId="0" fontId="22" fillId="0" borderId="0" xfId="0" applyFont="1" applyBorder="1" applyAlignment="1">
      <alignment vertical="center"/>
    </xf>
    <xf numFmtId="165" fontId="8" fillId="0" borderId="0" xfId="51" applyFont="1" applyBorder="1"/>
    <xf numFmtId="164" fontId="8" fillId="0" borderId="0" xfId="8" applyFont="1" applyBorder="1"/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8" fillId="0" borderId="25" xfId="0" applyFont="1" applyBorder="1"/>
    <xf numFmtId="0" fontId="8" fillId="0" borderId="21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27" xfId="0" applyFont="1" applyBorder="1"/>
    <xf numFmtId="0" fontId="8" fillId="0" borderId="19" xfId="0" applyFont="1" applyBorder="1"/>
    <xf numFmtId="0" fontId="15" fillId="0" borderId="26" xfId="0" applyFont="1" applyBorder="1"/>
    <xf numFmtId="0" fontId="15" fillId="0" borderId="0" xfId="0" applyFont="1" applyBorder="1"/>
    <xf numFmtId="0" fontId="18" fillId="0" borderId="0" xfId="0" applyFont="1" applyBorder="1"/>
    <xf numFmtId="10" fontId="15" fillId="0" borderId="0" xfId="34" applyNumberFormat="1" applyFont="1" applyBorder="1"/>
    <xf numFmtId="0" fontId="38" fillId="5" borderId="0" xfId="0" applyFont="1" applyFill="1" applyAlignment="1">
      <alignment horizontal="center" vertical="center"/>
    </xf>
    <xf numFmtId="0" fontId="0" fillId="5" borderId="0" xfId="0" applyFill="1"/>
    <xf numFmtId="0" fontId="11" fillId="0" borderId="0" xfId="0" applyFont="1" applyBorder="1" applyAlignment="1"/>
    <xf numFmtId="0" fontId="15" fillId="0" borderId="25" xfId="0" applyFont="1" applyBorder="1"/>
    <xf numFmtId="0" fontId="15" fillId="0" borderId="27" xfId="0" applyFont="1" applyBorder="1"/>
    <xf numFmtId="0" fontId="6" fillId="0" borderId="0" xfId="0" applyFont="1" applyBorder="1"/>
    <xf numFmtId="0" fontId="15" fillId="0" borderId="21" xfId="0" applyFont="1" applyBorder="1"/>
    <xf numFmtId="0" fontId="15" fillId="0" borderId="43" xfId="0" applyFont="1" applyBorder="1"/>
    <xf numFmtId="0" fontId="11" fillId="0" borderId="29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5" fontId="18" fillId="0" borderId="21" xfId="50" applyFont="1" applyBorder="1" applyAlignment="1">
      <alignment horizontal="center"/>
    </xf>
    <xf numFmtId="0" fontId="15" fillId="0" borderId="19" xfId="0" applyFont="1" applyBorder="1"/>
    <xf numFmtId="9" fontId="18" fillId="0" borderId="44" xfId="34" applyNumberFormat="1" applyFont="1" applyBorder="1" applyAlignment="1">
      <alignment horizontal="center"/>
    </xf>
    <xf numFmtId="0" fontId="15" fillId="0" borderId="45" xfId="0" applyFont="1" applyBorder="1"/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37" fillId="0" borderId="13" xfId="0" applyFont="1" applyBorder="1" applyAlignment="1"/>
    <xf numFmtId="0" fontId="6" fillId="0" borderId="13" xfId="0" applyFont="1" applyBorder="1" applyAlignment="1"/>
    <xf numFmtId="4" fontId="6" fillId="5" borderId="42" xfId="0" applyNumberFormat="1" applyFont="1" applyFill="1" applyBorder="1" applyAlignment="1">
      <alignment horizontal="right"/>
    </xf>
    <xf numFmtId="168" fontId="8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0" fontId="15" fillId="0" borderId="1" xfId="34" applyNumberFormat="1" applyFont="1" applyBorder="1" applyAlignment="1">
      <alignment horizontal="center" vertical="center"/>
    </xf>
    <xf numFmtId="165" fontId="15" fillId="5" borderId="1" xfId="3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0" fontId="15" fillId="0" borderId="1" xfId="34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5" fontId="15" fillId="0" borderId="1" xfId="34" applyNumberFormat="1" applyFont="1" applyFill="1" applyBorder="1" applyAlignment="1">
      <alignment horizontal="center" vertical="center"/>
    </xf>
    <xf numFmtId="4" fontId="17" fillId="0" borderId="27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6" fillId="0" borderId="28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10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4" fontId="7" fillId="0" borderId="13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10" fontId="15" fillId="0" borderId="5" xfId="34" applyNumberFormat="1" applyFont="1" applyBorder="1" applyAlignment="1">
      <alignment horizontal="center" vertical="center"/>
    </xf>
    <xf numFmtId="165" fontId="15" fillId="5" borderId="5" xfId="34" applyNumberFormat="1" applyFont="1" applyFill="1" applyBorder="1" applyAlignment="1">
      <alignment horizontal="center" vertical="center"/>
    </xf>
    <xf numFmtId="0" fontId="23" fillId="8" borderId="0" xfId="24" applyFont="1" applyFill="1" applyBorder="1"/>
    <xf numFmtId="0" fontId="6" fillId="5" borderId="20" xfId="0" quotePrefix="1" applyFont="1" applyFill="1" applyBorder="1" applyAlignment="1">
      <alignment horizontal="center" vertical="center" wrapText="1"/>
    </xf>
    <xf numFmtId="0" fontId="6" fillId="5" borderId="18" xfId="0" quotePrefix="1" applyFont="1" applyFill="1" applyBorder="1" applyAlignment="1">
      <alignment horizontal="center" vertical="center" wrapText="1"/>
    </xf>
    <xf numFmtId="10" fontId="6" fillId="5" borderId="10" xfId="0" applyNumberFormat="1" applyFont="1" applyFill="1" applyBorder="1" applyAlignment="1">
      <alignment horizontal="right" vertical="center"/>
    </xf>
    <xf numFmtId="10" fontId="6" fillId="5" borderId="18" xfId="0" applyNumberFormat="1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8" fillId="5" borderId="20" xfId="0" applyNumberFormat="1" applyFont="1" applyFill="1" applyBorder="1" applyAlignment="1">
      <alignment horizontal="center" vertical="center"/>
    </xf>
    <xf numFmtId="0" fontId="8" fillId="5" borderId="18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0" fontId="15" fillId="8" borderId="0" xfId="0" applyNumberFormat="1" applyFont="1" applyFill="1" applyBorder="1" applyAlignment="1">
      <alignment horizontal="center" vertical="center"/>
    </xf>
    <xf numFmtId="10" fontId="6" fillId="0" borderId="0" xfId="44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24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0" borderId="0" xfId="24" applyFont="1" applyBorder="1"/>
    <xf numFmtId="14" fontId="11" fillId="7" borderId="0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" fontId="11" fillId="7" borderId="0" xfId="0" applyNumberFormat="1" applyFont="1" applyFill="1" applyBorder="1" applyAlignment="1">
      <alignment horizontal="center" vertical="center" wrapText="1"/>
    </xf>
    <xf numFmtId="10" fontId="15" fillId="7" borderId="0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168" fontId="11" fillId="5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8" fillId="5" borderId="20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5" borderId="10" xfId="0" quotePrefix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right" vertical="center"/>
    </xf>
    <xf numFmtId="10" fontId="6" fillId="5" borderId="9" xfId="0" applyNumberFormat="1" applyFont="1" applyFill="1" applyBorder="1" applyAlignment="1">
      <alignment horizontal="right" vertical="center"/>
    </xf>
    <xf numFmtId="0" fontId="11" fillId="5" borderId="12" xfId="0" applyFont="1" applyFill="1" applyBorder="1" applyAlignment="1">
      <alignment horizontal="right"/>
    </xf>
    <xf numFmtId="0" fontId="11" fillId="5" borderId="17" xfId="0" applyFont="1" applyFill="1" applyBorder="1" applyAlignment="1">
      <alignment horizontal="right"/>
    </xf>
    <xf numFmtId="0" fontId="11" fillId="5" borderId="41" xfId="0" applyFont="1" applyFill="1" applyBorder="1" applyAlignment="1">
      <alignment horizontal="right"/>
    </xf>
    <xf numFmtId="0" fontId="6" fillId="12" borderId="34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49" fontId="3" fillId="0" borderId="26" xfId="32" applyNumberFormat="1" applyFont="1" applyBorder="1" applyAlignment="1">
      <alignment horizontal="left" wrapText="1"/>
    </xf>
    <xf numFmtId="49" fontId="3" fillId="0" borderId="21" xfId="32" applyNumberFormat="1" applyFont="1" applyBorder="1" applyAlignment="1">
      <alignment horizontal="left" wrapText="1"/>
    </xf>
    <xf numFmtId="0" fontId="6" fillId="10" borderId="31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wrapText="1"/>
    </xf>
    <xf numFmtId="49" fontId="1" fillId="0" borderId="26" xfId="32" applyNumberFormat="1" applyFont="1" applyBorder="1" applyAlignment="1">
      <alignment horizontal="left"/>
    </xf>
    <xf numFmtId="49" fontId="8" fillId="0" borderId="26" xfId="32" applyNumberFormat="1" applyFont="1" applyBorder="1" applyAlignment="1">
      <alignment horizontal="left"/>
    </xf>
    <xf numFmtId="49" fontId="8" fillId="0" borderId="21" xfId="32" applyNumberFormat="1" applyFont="1" applyBorder="1" applyAlignment="1">
      <alignment horizontal="left"/>
    </xf>
    <xf numFmtId="49" fontId="2" fillId="0" borderId="26" xfId="32" applyNumberFormat="1" applyFont="1" applyBorder="1" applyAlignment="1">
      <alignment horizontal="left" wrapText="1"/>
    </xf>
    <xf numFmtId="49" fontId="2" fillId="0" borderId="28" xfId="32" applyNumberFormat="1" applyFont="1" applyBorder="1" applyAlignment="1">
      <alignment horizontal="left" wrapText="1"/>
    </xf>
    <xf numFmtId="49" fontId="3" fillId="0" borderId="43" xfId="32" applyNumberFormat="1" applyFont="1" applyBorder="1" applyAlignment="1">
      <alignment horizontal="left" wrapText="1"/>
    </xf>
    <xf numFmtId="49" fontId="3" fillId="0" borderId="29" xfId="32" applyNumberFormat="1" applyFont="1" applyBorder="1" applyAlignment="1">
      <alignment horizontal="left" wrapText="1"/>
    </xf>
    <xf numFmtId="0" fontId="35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6" fillId="10" borderId="37" xfId="0" applyFont="1" applyFill="1" applyBorder="1" applyAlignment="1">
      <alignment horizontal="left" vertical="center" wrapText="1"/>
    </xf>
    <xf numFmtId="0" fontId="6" fillId="10" borderId="30" xfId="0" applyFont="1" applyFill="1" applyBorder="1" applyAlignment="1">
      <alignment horizontal="left" vertical="center" wrapText="1"/>
    </xf>
    <xf numFmtId="0" fontId="6" fillId="11" borderId="33" xfId="24" applyFont="1" applyFill="1" applyBorder="1" applyAlignment="1">
      <alignment horizontal="left" vertical="center" wrapText="1"/>
    </xf>
    <xf numFmtId="0" fontId="6" fillId="11" borderId="30" xfId="24" applyFont="1" applyFill="1" applyBorder="1" applyAlignment="1">
      <alignment horizontal="left" vertical="center" wrapText="1"/>
    </xf>
    <xf numFmtId="0" fontId="6" fillId="11" borderId="31" xfId="24" applyFont="1" applyFill="1" applyBorder="1" applyAlignment="1">
      <alignment horizontal="left" vertical="center" wrapText="1"/>
    </xf>
    <xf numFmtId="49" fontId="3" fillId="0" borderId="26" xfId="32" applyNumberFormat="1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5" fontId="15" fillId="0" borderId="5" xfId="34" applyNumberFormat="1" applyFont="1" applyFill="1" applyBorder="1" applyAlignment="1">
      <alignment horizontal="center" vertical="center"/>
    </xf>
    <xf numFmtId="165" fontId="15" fillId="0" borderId="4" xfId="34" applyNumberFormat="1" applyFont="1" applyFill="1" applyBorder="1" applyAlignment="1">
      <alignment horizontal="center" vertical="center"/>
    </xf>
    <xf numFmtId="165" fontId="15" fillId="0" borderId="7" xfId="34" applyNumberFormat="1" applyFont="1" applyFill="1" applyBorder="1" applyAlignment="1">
      <alignment horizontal="center" vertical="center"/>
    </xf>
    <xf numFmtId="10" fontId="15" fillId="0" borderId="5" xfId="34" applyNumberFormat="1" applyFont="1" applyFill="1" applyBorder="1" applyAlignment="1">
      <alignment horizontal="center"/>
    </xf>
    <xf numFmtId="10" fontId="15" fillId="0" borderId="4" xfId="34" applyNumberFormat="1" applyFont="1" applyFill="1" applyBorder="1" applyAlignment="1">
      <alignment horizontal="center"/>
    </xf>
    <xf numFmtId="10" fontId="15" fillId="0" borderId="7" xfId="34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65" fontId="15" fillId="0" borderId="5" xfId="50" applyFont="1" applyFill="1" applyBorder="1" applyAlignment="1">
      <alignment horizontal="center"/>
    </xf>
    <xf numFmtId="165" fontId="15" fillId="0" borderId="4" xfId="50" applyFont="1" applyFill="1" applyBorder="1" applyAlignment="1">
      <alignment horizontal="center"/>
    </xf>
    <xf numFmtId="165" fontId="15" fillId="0" borderId="7" xfId="50" applyFont="1" applyFill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15" fillId="0" borderId="4" xfId="34" applyNumberFormat="1" applyFont="1" applyBorder="1" applyAlignment="1">
      <alignment horizontal="center" vertical="center"/>
    </xf>
    <xf numFmtId="10" fontId="15" fillId="0" borderId="22" xfId="34" applyNumberFormat="1" applyFont="1" applyBorder="1" applyAlignment="1">
      <alignment horizontal="center" vertical="center"/>
    </xf>
    <xf numFmtId="165" fontId="15" fillId="0" borderId="22" xfId="34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65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Normal_Pesquisa no referencial 10 de maio de 2013" xfId="64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4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2</xdr:row>
      <xdr:rowOff>104775</xdr:rowOff>
    </xdr:from>
    <xdr:to>
      <xdr:col>2</xdr:col>
      <xdr:colOff>894826</xdr:colOff>
      <xdr:row>7</xdr:row>
      <xdr:rowOff>95250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3851" y="238125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0</xdr:rowOff>
    </xdr:from>
    <xdr:to>
      <xdr:col>3</xdr:col>
      <xdr:colOff>152400</xdr:colOff>
      <xdr:row>56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152400</xdr:colOff>
      <xdr:row>56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152400</xdr:colOff>
      <xdr:row>62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152400</xdr:colOff>
      <xdr:row>71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46944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showGridLines="0" topLeftCell="A32" workbookViewId="0">
      <selection activeCell="I50" sqref="I50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33" customHeight="1" thickBot="1"/>
    <row r="2" spans="1:6" ht="5.25" customHeight="1">
      <c r="A2" s="25"/>
      <c r="B2" s="301"/>
      <c r="C2" s="294"/>
      <c r="D2" s="294"/>
      <c r="E2" s="304"/>
      <c r="F2" s="25"/>
    </row>
    <row r="3" spans="1:6" ht="24" customHeight="1">
      <c r="A3" s="25"/>
      <c r="B3" s="339" t="s">
        <v>21</v>
      </c>
      <c r="C3" s="340"/>
      <c r="D3" s="340"/>
      <c r="E3" s="341"/>
      <c r="F3" s="25"/>
    </row>
    <row r="4" spans="1:6" ht="33.75" customHeight="1">
      <c r="A4" s="25"/>
      <c r="B4" s="342" t="str">
        <f>'planilha de orçamento'!B5:I5</f>
        <v xml:space="preserve">            Execução de Obras de Ampliação e Reforma da Escola Municipal de Educação Indigena-Aldeia Água Limpa</v>
      </c>
      <c r="C4" s="343"/>
      <c r="D4" s="343"/>
      <c r="E4" s="344"/>
      <c r="F4" s="25"/>
    </row>
    <row r="5" spans="1:6" ht="24" customHeight="1" thickBot="1">
      <c r="A5" s="25"/>
      <c r="B5" s="332" t="str">
        <f>'planilha de orçamento'!B6:I6</f>
        <v xml:space="preserve"> Local da Obra:Aldeia indigena Água Limpa                                                                                                                                          Coordenadas geograficas da Obra:Latitude 14°26'25.47"S - Longitude 53°28'52.67"O</v>
      </c>
      <c r="C5" s="333"/>
      <c r="D5" s="333"/>
      <c r="E5" s="334"/>
      <c r="F5" s="25"/>
    </row>
    <row r="6" spans="1:6" ht="21" customHeight="1" thickBot="1">
      <c r="A6" s="25"/>
      <c r="B6" s="335" t="str">
        <f>'planilha de orçamento'!H10</f>
        <v>DATA:22/08/2018</v>
      </c>
      <c r="C6" s="336"/>
      <c r="D6" s="305"/>
      <c r="E6" s="306" t="str">
        <f>'planilha de orçamento'!H7</f>
        <v>B.D.I: 27,63%</v>
      </c>
      <c r="F6" s="300"/>
    </row>
    <row r="7" spans="1:6" ht="6.75" customHeight="1">
      <c r="A7" s="25"/>
      <c r="B7" s="303"/>
      <c r="C7" s="295"/>
      <c r="D7" s="295"/>
      <c r="E7" s="295"/>
      <c r="F7" s="25"/>
    </row>
    <row r="8" spans="1:6">
      <c r="A8" s="25"/>
      <c r="B8" s="345" t="s">
        <v>22</v>
      </c>
      <c r="C8" s="345" t="s">
        <v>8</v>
      </c>
      <c r="D8" s="345" t="s">
        <v>9</v>
      </c>
      <c r="E8" s="307" t="s">
        <v>10</v>
      </c>
      <c r="F8" s="25"/>
    </row>
    <row r="9" spans="1:6">
      <c r="A9" s="25"/>
      <c r="B9" s="345"/>
      <c r="C9" s="345"/>
      <c r="D9" s="345"/>
      <c r="E9" s="307" t="s">
        <v>11</v>
      </c>
      <c r="F9" s="25"/>
    </row>
    <row r="10" spans="1:6">
      <c r="A10" s="25"/>
      <c r="B10" s="318">
        <v>1</v>
      </c>
      <c r="C10" s="319" t="s">
        <v>104</v>
      </c>
      <c r="D10" s="337">
        <f>(E10/E53)</f>
        <v>3.408903099420716E-2</v>
      </c>
      <c r="E10" s="338">
        <f>'planilha de orçamento'!I17</f>
        <v>6651.87</v>
      </c>
      <c r="F10" s="25"/>
    </row>
    <row r="11" spans="1:6">
      <c r="A11" s="25"/>
      <c r="B11" s="318"/>
      <c r="C11" s="319"/>
      <c r="D11" s="337"/>
      <c r="E11" s="338"/>
      <c r="F11" s="25"/>
    </row>
    <row r="12" spans="1:6">
      <c r="A12" s="25"/>
      <c r="B12" s="318">
        <v>2</v>
      </c>
      <c r="C12" s="319" t="s">
        <v>399</v>
      </c>
      <c r="D12" s="337">
        <f>(E12/E53)</f>
        <v>1.9049078863275667E-2</v>
      </c>
      <c r="E12" s="338">
        <f>'planilha de orçamento'!I25</f>
        <v>3717.09</v>
      </c>
      <c r="F12" s="25"/>
    </row>
    <row r="13" spans="1:6">
      <c r="A13" s="25"/>
      <c r="B13" s="318"/>
      <c r="C13" s="319"/>
      <c r="D13" s="337"/>
      <c r="E13" s="338"/>
      <c r="F13" s="25"/>
    </row>
    <row r="14" spans="1:6">
      <c r="A14" s="25"/>
      <c r="B14" s="318">
        <v>3</v>
      </c>
      <c r="C14" s="319" t="s">
        <v>23</v>
      </c>
      <c r="D14" s="320">
        <f>E14/$E$53</f>
        <v>3.0066118740893037E-2</v>
      </c>
      <c r="E14" s="331">
        <f>'planilha de orçamento'!I29</f>
        <v>5866.87</v>
      </c>
      <c r="F14" s="25"/>
    </row>
    <row r="15" spans="1:6">
      <c r="A15" s="25"/>
      <c r="B15" s="318"/>
      <c r="C15" s="319"/>
      <c r="D15" s="320"/>
      <c r="E15" s="331"/>
      <c r="F15" s="25"/>
    </row>
    <row r="16" spans="1:6" ht="5.25" hidden="1" customHeight="1">
      <c r="A16" s="25"/>
      <c r="B16" s="318"/>
      <c r="C16" s="319"/>
      <c r="D16" s="320"/>
      <c r="E16" s="331"/>
      <c r="F16" s="25"/>
    </row>
    <row r="17" spans="1:9">
      <c r="A17" s="25"/>
      <c r="B17" s="318">
        <v>4</v>
      </c>
      <c r="C17" s="319" t="s">
        <v>24</v>
      </c>
      <c r="D17" s="320">
        <f>E17/$E$53</f>
        <v>7.7491539456800247E-3</v>
      </c>
      <c r="E17" s="321">
        <f>'planilha de orçamento'!I34</f>
        <v>1512.11</v>
      </c>
      <c r="F17" s="25"/>
    </row>
    <row r="18" spans="1:9">
      <c r="A18" s="25"/>
      <c r="B18" s="318"/>
      <c r="C18" s="319"/>
      <c r="D18" s="320"/>
      <c r="E18" s="321"/>
      <c r="F18" s="25"/>
    </row>
    <row r="19" spans="1:9">
      <c r="A19" s="25"/>
      <c r="B19" s="318">
        <v>5</v>
      </c>
      <c r="C19" s="319" t="s">
        <v>81</v>
      </c>
      <c r="D19" s="320">
        <f>E19/$E$53</f>
        <v>6.9428752097231289E-2</v>
      </c>
      <c r="E19" s="321">
        <f>'planilha de orçamento'!I44</f>
        <v>13547.79</v>
      </c>
      <c r="F19" s="25"/>
    </row>
    <row r="20" spans="1:9">
      <c r="A20" s="25"/>
      <c r="B20" s="318"/>
      <c r="C20" s="319"/>
      <c r="D20" s="320"/>
      <c r="E20" s="321"/>
      <c r="F20" s="25"/>
    </row>
    <row r="21" spans="1:9" ht="3.75" customHeight="1">
      <c r="A21" s="25"/>
      <c r="B21" s="318"/>
      <c r="C21" s="319"/>
      <c r="D21" s="320"/>
      <c r="E21" s="321"/>
      <c r="F21" s="25"/>
    </row>
    <row r="22" spans="1:9">
      <c r="A22" s="25"/>
      <c r="B22" s="318">
        <v>6</v>
      </c>
      <c r="C22" s="323" t="s">
        <v>29</v>
      </c>
      <c r="D22" s="320">
        <f>E22/$E$53</f>
        <v>4.6647845586995938E-2</v>
      </c>
      <c r="E22" s="321">
        <f>'planilha de orçamento'!I52</f>
        <v>9102.5</v>
      </c>
      <c r="F22" s="25"/>
    </row>
    <row r="23" spans="1:9">
      <c r="A23" s="25"/>
      <c r="B23" s="318"/>
      <c r="C23" s="323"/>
      <c r="D23" s="320"/>
      <c r="E23" s="321"/>
      <c r="F23" s="25"/>
      <c r="I23" s="60"/>
    </row>
    <row r="24" spans="1:9" ht="4.5" customHeight="1">
      <c r="A24" s="25"/>
      <c r="B24" s="318"/>
      <c r="C24" s="323"/>
      <c r="D24" s="320"/>
      <c r="E24" s="321"/>
      <c r="F24" s="25"/>
    </row>
    <row r="25" spans="1:9" ht="13.5" customHeight="1">
      <c r="A25" s="25"/>
      <c r="B25" s="318">
        <v>7</v>
      </c>
      <c r="C25" s="319" t="s">
        <v>82</v>
      </c>
      <c r="D25" s="320">
        <f>E25/$E$53</f>
        <v>4.8560394444240318E-3</v>
      </c>
      <c r="E25" s="321">
        <f>'planilha de orçamento'!I55</f>
        <v>947.57</v>
      </c>
      <c r="F25" s="25"/>
    </row>
    <row r="26" spans="1:9">
      <c r="A26" s="25"/>
      <c r="B26" s="318"/>
      <c r="C26" s="319"/>
      <c r="D26" s="320"/>
      <c r="E26" s="321"/>
      <c r="F26" s="25"/>
    </row>
    <row r="27" spans="1:9" ht="5.25" customHeight="1">
      <c r="A27" s="25"/>
      <c r="B27" s="318"/>
      <c r="C27" s="319"/>
      <c r="D27" s="320"/>
      <c r="E27" s="321"/>
      <c r="F27" s="25"/>
    </row>
    <row r="28" spans="1:9">
      <c r="A28" s="25"/>
      <c r="B28" s="322">
        <v>8</v>
      </c>
      <c r="C28" s="323" t="s">
        <v>83</v>
      </c>
      <c r="D28" s="324">
        <f>E28/$E$53</f>
        <v>6.0010935146708425E-2</v>
      </c>
      <c r="E28" s="321">
        <f>('planilha de orçamento'!I61)</f>
        <v>11710.069999999998</v>
      </c>
      <c r="F28" s="25"/>
    </row>
    <row r="29" spans="1:9">
      <c r="A29" s="25"/>
      <c r="B29" s="322"/>
      <c r="C29" s="323"/>
      <c r="D29" s="324"/>
      <c r="E29" s="321"/>
      <c r="F29" s="25"/>
    </row>
    <row r="30" spans="1:9" ht="6" customHeight="1">
      <c r="A30" s="25"/>
      <c r="B30" s="322"/>
      <c r="C30" s="323"/>
      <c r="D30" s="324"/>
      <c r="E30" s="321"/>
      <c r="F30" s="25"/>
    </row>
    <row r="31" spans="1:9">
      <c r="A31" s="25"/>
      <c r="B31" s="328">
        <v>9</v>
      </c>
      <c r="C31" s="325" t="s">
        <v>84</v>
      </c>
      <c r="D31" s="320">
        <f>E31/$E$53</f>
        <v>0.12393003986475432</v>
      </c>
      <c r="E31" s="321">
        <f>('planilha de orçamento'!I67)</f>
        <v>24182.75</v>
      </c>
      <c r="F31" s="25"/>
    </row>
    <row r="32" spans="1:9" ht="11.25" customHeight="1">
      <c r="A32" s="25"/>
      <c r="B32" s="329"/>
      <c r="C32" s="326"/>
      <c r="D32" s="320"/>
      <c r="E32" s="321"/>
      <c r="F32" s="25"/>
    </row>
    <row r="33" spans="1:6" ht="6.75" customHeight="1">
      <c r="A33" s="25"/>
      <c r="B33" s="330"/>
      <c r="C33" s="327"/>
      <c r="D33" s="320"/>
      <c r="E33" s="321"/>
      <c r="F33" s="25"/>
    </row>
    <row r="34" spans="1:6">
      <c r="A34" s="25"/>
      <c r="B34" s="318">
        <v>10</v>
      </c>
      <c r="C34" s="319" t="s">
        <v>85</v>
      </c>
      <c r="D34" s="320">
        <f>E34/$E$53</f>
        <v>0.13859081329807726</v>
      </c>
      <c r="E34" s="321">
        <f>('planilha de orçamento'!I75)</f>
        <v>27043.54</v>
      </c>
      <c r="F34" s="25"/>
    </row>
    <row r="35" spans="1:6" ht="19.5" customHeight="1">
      <c r="A35" s="25"/>
      <c r="B35" s="318"/>
      <c r="C35" s="319"/>
      <c r="D35" s="320"/>
      <c r="E35" s="321"/>
      <c r="F35" s="25"/>
    </row>
    <row r="36" spans="1:6">
      <c r="A36" s="25"/>
      <c r="B36" s="318">
        <v>11</v>
      </c>
      <c r="C36" s="319" t="s">
        <v>481</v>
      </c>
      <c r="D36" s="320">
        <f>E36/$E$53</f>
        <v>4.3268291810472967E-2</v>
      </c>
      <c r="E36" s="321">
        <f>('planilha de orçamento'!I79)</f>
        <v>8443.0399999999991</v>
      </c>
      <c r="F36" s="25"/>
    </row>
    <row r="37" spans="1:6" ht="19.5" customHeight="1">
      <c r="A37" s="25"/>
      <c r="B37" s="318"/>
      <c r="C37" s="319"/>
      <c r="D37" s="320"/>
      <c r="E37" s="321"/>
      <c r="F37" s="25"/>
    </row>
    <row r="38" spans="1:6">
      <c r="A38" s="25"/>
      <c r="B38" s="318">
        <v>12</v>
      </c>
      <c r="C38" s="319" t="s">
        <v>86</v>
      </c>
      <c r="D38" s="320">
        <f>E38/$E$53</f>
        <v>0.12730313648275604</v>
      </c>
      <c r="E38" s="321">
        <f>('planilha de orçamento'!I87)</f>
        <v>24840.95</v>
      </c>
      <c r="F38" s="25"/>
    </row>
    <row r="39" spans="1:6" ht="19.5" customHeight="1">
      <c r="A39" s="25"/>
      <c r="B39" s="318"/>
      <c r="C39" s="319"/>
      <c r="D39" s="320"/>
      <c r="E39" s="321"/>
      <c r="F39" s="25"/>
    </row>
    <row r="40" spans="1:6">
      <c r="A40" s="25"/>
      <c r="B40" s="318">
        <v>13</v>
      </c>
      <c r="C40" s="319" t="s">
        <v>30</v>
      </c>
      <c r="D40" s="320">
        <f>E40/$E$53</f>
        <v>2.2041766848712414E-2</v>
      </c>
      <c r="E40" s="321">
        <f>('planilha de orçamento'!I91)</f>
        <v>4301.0599999999995</v>
      </c>
      <c r="F40" s="25"/>
    </row>
    <row r="41" spans="1:6" ht="20.25" customHeight="1">
      <c r="A41" s="25"/>
      <c r="B41" s="318"/>
      <c r="C41" s="319"/>
      <c r="D41" s="320"/>
      <c r="E41" s="321"/>
      <c r="F41" s="25"/>
    </row>
    <row r="42" spans="1:6">
      <c r="A42" s="25"/>
      <c r="B42" s="318">
        <v>14</v>
      </c>
      <c r="C42" s="319" t="s">
        <v>87</v>
      </c>
      <c r="D42" s="320">
        <f>E42/$E$53</f>
        <v>6.2186228859019588E-2</v>
      </c>
      <c r="E42" s="321">
        <f>('planilha de orçamento'!I98)</f>
        <v>12134.54</v>
      </c>
      <c r="F42" s="25"/>
    </row>
    <row r="43" spans="1:6" ht="18" customHeight="1">
      <c r="A43" s="25"/>
      <c r="B43" s="318"/>
      <c r="C43" s="319"/>
      <c r="D43" s="320"/>
      <c r="E43" s="321"/>
      <c r="F43" s="25"/>
    </row>
    <row r="44" spans="1:6">
      <c r="A44" s="25"/>
      <c r="B44" s="318">
        <v>15</v>
      </c>
      <c r="C44" s="319" t="s">
        <v>88</v>
      </c>
      <c r="D44" s="320">
        <f>E44/$E$53</f>
        <v>0.17287658263802294</v>
      </c>
      <c r="E44" s="321">
        <f>('planilha de orçamento'!I165)</f>
        <v>33733.800000000003</v>
      </c>
      <c r="F44" s="25"/>
    </row>
    <row r="45" spans="1:6">
      <c r="A45" s="25"/>
      <c r="B45" s="318"/>
      <c r="C45" s="319"/>
      <c r="D45" s="320"/>
      <c r="E45" s="321"/>
      <c r="F45" s="25"/>
    </row>
    <row r="46" spans="1:6">
      <c r="A46" s="25"/>
      <c r="B46" s="318"/>
      <c r="C46" s="319"/>
      <c r="D46" s="320"/>
      <c r="E46" s="321"/>
      <c r="F46" s="25"/>
    </row>
    <row r="47" spans="1:6">
      <c r="A47" s="25"/>
      <c r="B47" s="318">
        <v>16</v>
      </c>
      <c r="C47" s="319" t="s">
        <v>144</v>
      </c>
      <c r="D47" s="320">
        <f>E47/$E$53</f>
        <v>3.2874213988285994E-2</v>
      </c>
      <c r="E47" s="321">
        <f>('planilha de orçamento'!I187)</f>
        <v>6414.82</v>
      </c>
      <c r="F47" s="25"/>
    </row>
    <row r="48" spans="1:6">
      <c r="A48" s="25"/>
      <c r="B48" s="318"/>
      <c r="C48" s="319"/>
      <c r="D48" s="320"/>
      <c r="E48" s="321"/>
      <c r="F48" s="25"/>
    </row>
    <row r="49" spans="1:6">
      <c r="A49" s="25"/>
      <c r="B49" s="318"/>
      <c r="C49" s="319"/>
      <c r="D49" s="320"/>
      <c r="E49" s="321"/>
      <c r="F49" s="25"/>
    </row>
    <row r="50" spans="1:6">
      <c r="A50" s="25"/>
      <c r="B50" s="318">
        <v>17</v>
      </c>
      <c r="C50" s="319" t="s">
        <v>296</v>
      </c>
      <c r="D50" s="320">
        <f>E50/$E$53</f>
        <v>5.031971390482979E-3</v>
      </c>
      <c r="E50" s="321">
        <f>('planilha de orçamento'!I190)</f>
        <v>981.9</v>
      </c>
      <c r="F50" s="25"/>
    </row>
    <row r="51" spans="1:6">
      <c r="A51" s="25"/>
      <c r="B51" s="318"/>
      <c r="C51" s="319"/>
      <c r="D51" s="320"/>
      <c r="E51" s="321"/>
      <c r="F51" s="25"/>
    </row>
    <row r="52" spans="1:6" ht="13.5" thickBot="1">
      <c r="A52" s="25"/>
      <c r="B52" s="328"/>
      <c r="C52" s="325"/>
      <c r="D52" s="348"/>
      <c r="E52" s="349"/>
      <c r="F52" s="25"/>
    </row>
    <row r="53" spans="1:6">
      <c r="A53" s="25"/>
      <c r="B53" s="346" t="s">
        <v>18</v>
      </c>
      <c r="C53" s="347"/>
      <c r="D53" s="310">
        <f>SUM(D10:D52)</f>
        <v>1.0000000000000002</v>
      </c>
      <c r="E53" s="308">
        <f>SUM(E10:E52)</f>
        <v>195132.27</v>
      </c>
      <c r="F53" s="25"/>
    </row>
    <row r="54" spans="1:6" ht="5.25" customHeight="1" thickBot="1">
      <c r="A54" s="25"/>
      <c r="B54" s="302"/>
      <c r="C54" s="26"/>
      <c r="D54" s="311"/>
      <c r="E54" s="309"/>
      <c r="F54" s="25"/>
    </row>
    <row r="55" spans="1:6">
      <c r="B55" s="24"/>
      <c r="C55" s="57"/>
      <c r="D55" s="57"/>
      <c r="E55" s="57"/>
    </row>
    <row r="56" spans="1:6">
      <c r="B56" s="24"/>
      <c r="C56" s="24"/>
      <c r="D56" s="24"/>
      <c r="E56" s="24"/>
    </row>
    <row r="57" spans="1:6">
      <c r="D57" s="25"/>
      <c r="E57" s="25"/>
    </row>
    <row r="58" spans="1:6">
      <c r="D58" s="25"/>
      <c r="E58" s="58"/>
    </row>
    <row r="59" spans="1:6">
      <c r="D59" s="25"/>
      <c r="E59" s="58"/>
    </row>
    <row r="60" spans="1:6">
      <c r="E60" s="59"/>
    </row>
  </sheetData>
  <mergeCells count="76">
    <mergeCell ref="B22:B24"/>
    <mergeCell ref="C22:C24"/>
    <mergeCell ref="D22:D24"/>
    <mergeCell ref="E22:E24"/>
    <mergeCell ref="B25:B27"/>
    <mergeCell ref="C25:C27"/>
    <mergeCell ref="D25:D27"/>
    <mergeCell ref="B53:C53"/>
    <mergeCell ref="B40:B41"/>
    <mergeCell ref="C40:C41"/>
    <mergeCell ref="D40:D41"/>
    <mergeCell ref="E40:E41"/>
    <mergeCell ref="B42:B43"/>
    <mergeCell ref="C42:C43"/>
    <mergeCell ref="D42:D43"/>
    <mergeCell ref="E44:E46"/>
    <mergeCell ref="B47:B49"/>
    <mergeCell ref="C47:C49"/>
    <mergeCell ref="D47:D49"/>
    <mergeCell ref="B50:B52"/>
    <mergeCell ref="C50:C52"/>
    <mergeCell ref="D50:D52"/>
    <mergeCell ref="E50:E52"/>
    <mergeCell ref="B3:E3"/>
    <mergeCell ref="E25:E27"/>
    <mergeCell ref="B17:B18"/>
    <mergeCell ref="C17:C18"/>
    <mergeCell ref="D17:D18"/>
    <mergeCell ref="E17:E18"/>
    <mergeCell ref="B19:B21"/>
    <mergeCell ref="C19:C21"/>
    <mergeCell ref="D19:D21"/>
    <mergeCell ref="E19:E21"/>
    <mergeCell ref="B4:E4"/>
    <mergeCell ref="B8:B9"/>
    <mergeCell ref="C8:C9"/>
    <mergeCell ref="D8:D9"/>
    <mergeCell ref="B14:B16"/>
    <mergeCell ref="B12:B13"/>
    <mergeCell ref="D14:D16"/>
    <mergeCell ref="E14:E16"/>
    <mergeCell ref="B5:E5"/>
    <mergeCell ref="B6:C6"/>
    <mergeCell ref="B10:B11"/>
    <mergeCell ref="C10:C11"/>
    <mergeCell ref="D10:D11"/>
    <mergeCell ref="E10:E11"/>
    <mergeCell ref="C12:C13"/>
    <mergeCell ref="D12:D13"/>
    <mergeCell ref="E12:E13"/>
    <mergeCell ref="C14:C16"/>
    <mergeCell ref="B28:B30"/>
    <mergeCell ref="C28:C30"/>
    <mergeCell ref="E28:E30"/>
    <mergeCell ref="B38:B39"/>
    <mergeCell ref="C38:C39"/>
    <mergeCell ref="D38:D39"/>
    <mergeCell ref="E38:E39"/>
    <mergeCell ref="D28:D30"/>
    <mergeCell ref="B34:B35"/>
    <mergeCell ref="C34:C35"/>
    <mergeCell ref="D34:D35"/>
    <mergeCell ref="E34:E35"/>
    <mergeCell ref="C31:C33"/>
    <mergeCell ref="B31:B33"/>
    <mergeCell ref="D31:D33"/>
    <mergeCell ref="E31:E33"/>
    <mergeCell ref="B36:B37"/>
    <mergeCell ref="C36:C37"/>
    <mergeCell ref="D36:D37"/>
    <mergeCell ref="E36:E37"/>
    <mergeCell ref="E47:E49"/>
    <mergeCell ref="E42:E43"/>
    <mergeCell ref="B44:B46"/>
    <mergeCell ref="C44:C46"/>
    <mergeCell ref="D44:D46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4"/>
  <sheetViews>
    <sheetView tabSelected="1" view="pageBreakPreview" zoomScaleNormal="85" zoomScaleSheetLayoutView="100" workbookViewId="0">
      <selection activeCell="M190" sqref="M190"/>
    </sheetView>
  </sheetViews>
  <sheetFormatPr defaultRowHeight="12.75"/>
  <cols>
    <col min="1" max="1" width="3.5703125" customWidth="1"/>
    <col min="2" max="2" width="7.28515625" customWidth="1"/>
    <col min="3" max="3" width="68.28515625" customWidth="1"/>
    <col min="4" max="4" width="5" style="3" customWidth="1"/>
    <col min="5" max="5" width="12.85546875" style="4" customWidth="1"/>
    <col min="6" max="6" width="9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 thickBot="1"/>
    <row r="2" spans="2:17" s="1" customFormat="1" ht="5.25" customHeight="1">
      <c r="B2" s="390"/>
      <c r="C2" s="391"/>
      <c r="D2" s="391"/>
      <c r="E2" s="391"/>
      <c r="F2" s="391"/>
      <c r="G2" s="391"/>
      <c r="H2" s="391"/>
      <c r="I2" s="392"/>
      <c r="J2" s="117"/>
      <c r="K2" s="117"/>
      <c r="L2" s="66"/>
      <c r="N2" s="6"/>
    </row>
    <row r="3" spans="2:17" s="1" customFormat="1" ht="20.25" customHeight="1">
      <c r="B3" s="382" t="s">
        <v>90</v>
      </c>
      <c r="C3" s="383"/>
      <c r="D3" s="383"/>
      <c r="E3" s="383"/>
      <c r="F3" s="383"/>
      <c r="G3" s="383"/>
      <c r="H3" s="383"/>
      <c r="I3" s="384"/>
      <c r="J3" s="114"/>
      <c r="K3" s="114"/>
      <c r="L3" s="99"/>
      <c r="N3" s="6"/>
    </row>
    <row r="4" spans="2:17" s="1" customFormat="1" ht="2.25" customHeight="1">
      <c r="B4" s="312"/>
      <c r="C4" s="114"/>
      <c r="D4" s="114"/>
      <c r="E4" s="114"/>
      <c r="F4" s="114"/>
      <c r="G4" s="114"/>
      <c r="H4" s="114"/>
      <c r="I4" s="313"/>
      <c r="J4" s="114"/>
      <c r="K4" s="114"/>
      <c r="L4" s="99"/>
      <c r="N4" s="6"/>
    </row>
    <row r="5" spans="2:17" s="1" customFormat="1" ht="15" customHeight="1">
      <c r="B5" s="408" t="s">
        <v>299</v>
      </c>
      <c r="C5" s="409"/>
      <c r="D5" s="409"/>
      <c r="E5" s="409"/>
      <c r="F5" s="409"/>
      <c r="G5" s="409"/>
      <c r="H5" s="409"/>
      <c r="I5" s="410"/>
      <c r="J5" s="115"/>
      <c r="K5" s="115"/>
      <c r="L5" s="99"/>
      <c r="N5" s="6"/>
    </row>
    <row r="6" spans="2:17" s="1" customFormat="1" ht="42" customHeight="1">
      <c r="B6" s="385" t="s">
        <v>300</v>
      </c>
      <c r="C6" s="386"/>
      <c r="D6" s="386"/>
      <c r="E6" s="386"/>
      <c r="F6" s="386"/>
      <c r="G6" s="386"/>
      <c r="H6" s="386"/>
      <c r="I6" s="411"/>
      <c r="J6" s="116"/>
      <c r="K6" s="116"/>
      <c r="L6" s="9"/>
      <c r="N6" s="6"/>
    </row>
    <row r="7" spans="2:17" s="1" customFormat="1" ht="17.25" customHeight="1">
      <c r="B7" s="385" t="s">
        <v>149</v>
      </c>
      <c r="C7" s="386"/>
      <c r="D7" s="386"/>
      <c r="E7" s="386"/>
      <c r="F7" s="386"/>
      <c r="G7" s="386"/>
      <c r="H7" s="387" t="s">
        <v>89</v>
      </c>
      <c r="I7" s="388"/>
      <c r="J7" s="362" t="s">
        <v>89</v>
      </c>
      <c r="K7" s="362"/>
      <c r="L7" s="99"/>
      <c r="N7" s="6"/>
    </row>
    <row r="8" spans="2:17" s="1" customFormat="1" ht="12.75" customHeight="1">
      <c r="B8" s="366" t="s">
        <v>101</v>
      </c>
      <c r="C8" s="367"/>
      <c r="D8" s="367"/>
      <c r="E8" s="367"/>
      <c r="F8" s="367"/>
      <c r="G8" s="367"/>
      <c r="H8" s="367"/>
      <c r="I8" s="368"/>
      <c r="J8" s="362" t="s">
        <v>89</v>
      </c>
      <c r="K8" s="362"/>
      <c r="L8" s="99"/>
      <c r="N8" s="6"/>
    </row>
    <row r="9" spans="2:17" s="1" customFormat="1" ht="5.25" customHeight="1" thickBot="1">
      <c r="B9" s="363"/>
      <c r="C9" s="364"/>
      <c r="D9" s="364"/>
      <c r="E9" s="364"/>
      <c r="F9" s="364"/>
      <c r="G9" s="364"/>
      <c r="H9" s="364"/>
      <c r="I9" s="365"/>
      <c r="J9" s="98"/>
      <c r="K9" s="65"/>
      <c r="L9" s="65"/>
      <c r="N9" s="6"/>
    </row>
    <row r="10" spans="2:17" s="1" customFormat="1" ht="15" customHeight="1">
      <c r="B10" s="370" t="s">
        <v>145</v>
      </c>
      <c r="C10" s="371"/>
      <c r="D10" s="371"/>
      <c r="E10" s="371"/>
      <c r="F10" s="371"/>
      <c r="G10" s="371"/>
      <c r="H10" s="372" t="s">
        <v>298</v>
      </c>
      <c r="I10" s="373"/>
      <c r="J10" s="369" t="s">
        <v>53</v>
      </c>
      <c r="K10" s="369"/>
      <c r="L10" s="67"/>
      <c r="N10" s="6"/>
    </row>
    <row r="11" spans="2:17" s="1" customFormat="1" ht="1.5" customHeight="1">
      <c r="B11" s="395"/>
      <c r="C11" s="396"/>
      <c r="D11" s="396"/>
      <c r="E11" s="396"/>
      <c r="F11" s="396"/>
      <c r="G11" s="397"/>
      <c r="H11" s="397"/>
      <c r="I11" s="398"/>
      <c r="J11" s="99"/>
      <c r="K11" s="99"/>
      <c r="L11" s="99"/>
      <c r="N11" s="6"/>
    </row>
    <row r="12" spans="2:17" s="1" customFormat="1" ht="15">
      <c r="B12" s="399" t="s">
        <v>0</v>
      </c>
      <c r="C12" s="379" t="s">
        <v>1</v>
      </c>
      <c r="D12" s="379" t="s">
        <v>2</v>
      </c>
      <c r="E12" s="374" t="s">
        <v>54</v>
      </c>
      <c r="F12" s="389" t="s">
        <v>37</v>
      </c>
      <c r="G12" s="402" t="s">
        <v>36</v>
      </c>
      <c r="H12" s="403"/>
      <c r="I12" s="404"/>
      <c r="J12" s="378">
        <v>42933</v>
      </c>
      <c r="K12" s="378"/>
      <c r="L12" s="68"/>
      <c r="N12" s="6"/>
    </row>
    <row r="13" spans="2:17" s="1" customFormat="1" ht="15" customHeight="1">
      <c r="B13" s="400"/>
      <c r="C13" s="379"/>
      <c r="D13" s="379"/>
      <c r="E13" s="375"/>
      <c r="F13" s="389"/>
      <c r="G13" s="405"/>
      <c r="H13" s="406"/>
      <c r="I13" s="407"/>
      <c r="J13" s="380" t="s">
        <v>49</v>
      </c>
      <c r="K13" s="380"/>
      <c r="L13" s="69"/>
      <c r="N13" s="6"/>
    </row>
    <row r="14" spans="2:17" s="2" customFormat="1" ht="12.75" customHeight="1">
      <c r="B14" s="401"/>
      <c r="C14" s="379"/>
      <c r="D14" s="379"/>
      <c r="E14" s="376"/>
      <c r="F14" s="389"/>
      <c r="G14" s="64" t="s">
        <v>3</v>
      </c>
      <c r="H14" s="64" t="s">
        <v>33</v>
      </c>
      <c r="I14" s="64" t="s">
        <v>34</v>
      </c>
      <c r="J14" s="118" t="s">
        <v>9</v>
      </c>
      <c r="K14" s="119" t="s">
        <v>50</v>
      </c>
      <c r="L14" s="70"/>
      <c r="M14" s="7"/>
      <c r="N14" s="7"/>
    </row>
    <row r="15" spans="2:17" s="1" customFormat="1" ht="15.75" customHeight="1">
      <c r="B15" s="257">
        <v>1</v>
      </c>
      <c r="C15" s="21" t="s">
        <v>99</v>
      </c>
      <c r="D15" s="20"/>
      <c r="E15" s="18"/>
      <c r="F15" s="22"/>
      <c r="G15" s="17"/>
      <c r="H15" s="23">
        <v>0.27629999999999999</v>
      </c>
      <c r="I15" s="23"/>
      <c r="J15" s="381" t="s">
        <v>51</v>
      </c>
      <c r="K15" s="381"/>
      <c r="L15" s="71"/>
      <c r="N15" s="377"/>
      <c r="O15" s="377"/>
      <c r="P15" s="377"/>
      <c r="Q15" s="88"/>
    </row>
    <row r="16" spans="2:17" s="2" customFormat="1" ht="30.75" customHeight="1">
      <c r="B16" s="258" t="s">
        <v>108</v>
      </c>
      <c r="C16" s="85" t="s">
        <v>100</v>
      </c>
      <c r="D16" s="84" t="s">
        <v>78</v>
      </c>
      <c r="E16" s="90" t="s">
        <v>69</v>
      </c>
      <c r="F16" s="81">
        <v>1</v>
      </c>
      <c r="G16" s="82">
        <v>5211.84</v>
      </c>
      <c r="H16" s="83">
        <f>TRUNC(G16*$H$15+G16,2)</f>
        <v>6651.87</v>
      </c>
      <c r="I16" s="83">
        <f>TRUNC(H16*F16,2)</f>
        <v>6651.87</v>
      </c>
      <c r="J16" s="120">
        <v>0</v>
      </c>
      <c r="K16" s="121" t="e">
        <f>(J16*#REF!)</f>
        <v>#REF!</v>
      </c>
      <c r="L16" s="72"/>
      <c r="N16" s="377"/>
      <c r="O16" s="377"/>
      <c r="P16" s="377"/>
      <c r="Q16" s="88"/>
    </row>
    <row r="17" spans="2:17" s="2" customFormat="1" ht="15.75" customHeight="1">
      <c r="B17" s="355" t="s">
        <v>6</v>
      </c>
      <c r="C17" s="356"/>
      <c r="D17" s="356"/>
      <c r="E17" s="356"/>
      <c r="F17" s="356"/>
      <c r="G17" s="353">
        <f>(100%)</f>
        <v>1</v>
      </c>
      <c r="H17" s="354"/>
      <c r="I17" s="259">
        <f>SUM(I16)</f>
        <v>6651.87</v>
      </c>
      <c r="J17" s="122" t="e">
        <f>(K17/#REF!)</f>
        <v>#REF!</v>
      </c>
      <c r="K17" s="123" t="e">
        <f>SUM(K15:K16)</f>
        <v>#REF!</v>
      </c>
      <c r="L17" s="73"/>
      <c r="N17" s="7"/>
    </row>
    <row r="18" spans="2:17" s="101" customFormat="1" ht="15.75" customHeight="1">
      <c r="B18" s="257">
        <v>2</v>
      </c>
      <c r="C18" s="21" t="s">
        <v>398</v>
      </c>
      <c r="D18" s="20"/>
      <c r="E18" s="18"/>
      <c r="F18" s="22"/>
      <c r="G18" s="17"/>
      <c r="H18" s="23"/>
      <c r="I18" s="23"/>
      <c r="J18" s="361" t="s">
        <v>51</v>
      </c>
      <c r="K18" s="361"/>
      <c r="L18" s="100"/>
      <c r="N18" s="350"/>
      <c r="O18" s="350"/>
      <c r="P18" s="350"/>
      <c r="Q18" s="256"/>
    </row>
    <row r="19" spans="2:17" s="104" customFormat="1" ht="36" customHeight="1">
      <c r="B19" s="258" t="s">
        <v>109</v>
      </c>
      <c r="C19" s="85" t="s">
        <v>366</v>
      </c>
      <c r="D19" s="19" t="s">
        <v>58</v>
      </c>
      <c r="E19" s="236">
        <v>97622</v>
      </c>
      <c r="F19" s="81">
        <v>2.9</v>
      </c>
      <c r="G19" s="82">
        <v>36.75</v>
      </c>
      <c r="H19" s="83">
        <f t="shared" ref="H19:H24" si="0">TRUNC(G19*$H$15+G19,2)</f>
        <v>46.9</v>
      </c>
      <c r="I19" s="83">
        <f t="shared" ref="I19:I24" si="1">TRUNC(H19*F19,2)</f>
        <v>136.01</v>
      </c>
      <c r="J19" s="124">
        <v>0</v>
      </c>
      <c r="K19" s="125" t="e">
        <f>(J19*#REF!)</f>
        <v>#REF!</v>
      </c>
      <c r="L19" s="103"/>
      <c r="N19" s="350"/>
      <c r="O19" s="350"/>
      <c r="P19" s="350"/>
      <c r="Q19" s="105"/>
    </row>
    <row r="20" spans="2:17" s="104" customFormat="1" ht="34.5" customHeight="1">
      <c r="B20" s="258" t="s">
        <v>110</v>
      </c>
      <c r="C20" s="85" t="s">
        <v>367</v>
      </c>
      <c r="D20" s="19" t="s">
        <v>56</v>
      </c>
      <c r="E20" s="236">
        <v>97644</v>
      </c>
      <c r="F20" s="81">
        <v>7.56</v>
      </c>
      <c r="G20" s="82">
        <v>5.93</v>
      </c>
      <c r="H20" s="83">
        <f t="shared" si="0"/>
        <v>7.56</v>
      </c>
      <c r="I20" s="83">
        <f t="shared" si="1"/>
        <v>57.15</v>
      </c>
      <c r="J20" s="124">
        <v>1</v>
      </c>
      <c r="K20" s="125" t="e">
        <f>(J20*#REF!)</f>
        <v>#REF!</v>
      </c>
      <c r="L20" s="103"/>
      <c r="N20" s="106"/>
    </row>
    <row r="21" spans="2:17" s="104" customFormat="1" ht="34.5" customHeight="1">
      <c r="B21" s="258" t="s">
        <v>111</v>
      </c>
      <c r="C21" s="85" t="s">
        <v>368</v>
      </c>
      <c r="D21" s="19" t="s">
        <v>56</v>
      </c>
      <c r="E21" s="236">
        <v>97645</v>
      </c>
      <c r="F21" s="81">
        <v>12.72</v>
      </c>
      <c r="G21" s="82">
        <v>17.47</v>
      </c>
      <c r="H21" s="83">
        <f t="shared" si="0"/>
        <v>22.29</v>
      </c>
      <c r="I21" s="83">
        <f t="shared" si="1"/>
        <v>283.52</v>
      </c>
      <c r="J21" s="124">
        <v>1</v>
      </c>
      <c r="K21" s="125" t="e">
        <f>(J21*#REF!)</f>
        <v>#REF!</v>
      </c>
      <c r="L21" s="103"/>
      <c r="N21" s="106"/>
    </row>
    <row r="22" spans="2:17" s="104" customFormat="1" ht="33" customHeight="1">
      <c r="B22" s="258" t="s">
        <v>372</v>
      </c>
      <c r="C22" s="85" t="s">
        <v>369</v>
      </c>
      <c r="D22" s="84" t="s">
        <v>78</v>
      </c>
      <c r="E22" s="236">
        <v>97651</v>
      </c>
      <c r="F22" s="81">
        <v>9</v>
      </c>
      <c r="G22" s="82">
        <v>54.29</v>
      </c>
      <c r="H22" s="83">
        <f t="shared" si="0"/>
        <v>69.290000000000006</v>
      </c>
      <c r="I22" s="83">
        <f t="shared" si="1"/>
        <v>623.61</v>
      </c>
      <c r="J22" s="124">
        <v>1</v>
      </c>
      <c r="K22" s="125" t="e">
        <f>(J22*#REF!)</f>
        <v>#REF!</v>
      </c>
      <c r="L22" s="103"/>
      <c r="N22" s="106"/>
    </row>
    <row r="23" spans="2:17" s="104" customFormat="1" ht="33" customHeight="1">
      <c r="B23" s="258" t="s">
        <v>373</v>
      </c>
      <c r="C23" s="85" t="s">
        <v>370</v>
      </c>
      <c r="D23" s="84" t="s">
        <v>56</v>
      </c>
      <c r="E23" s="236">
        <v>97650</v>
      </c>
      <c r="F23" s="81">
        <v>285.99</v>
      </c>
      <c r="G23" s="82">
        <v>4.9000000000000004</v>
      </c>
      <c r="H23" s="83">
        <f t="shared" si="0"/>
        <v>6.25</v>
      </c>
      <c r="I23" s="83">
        <f t="shared" si="1"/>
        <v>1787.43</v>
      </c>
      <c r="J23" s="124">
        <v>1</v>
      </c>
      <c r="K23" s="125" t="e">
        <f>(J23*#REF!)</f>
        <v>#REF!</v>
      </c>
      <c r="L23" s="103"/>
      <c r="N23" s="106"/>
    </row>
    <row r="24" spans="2:17" s="104" customFormat="1" ht="32.25" customHeight="1">
      <c r="B24" s="258" t="s">
        <v>374</v>
      </c>
      <c r="C24" s="85" t="s">
        <v>371</v>
      </c>
      <c r="D24" s="84" t="s">
        <v>56</v>
      </c>
      <c r="E24" s="236">
        <v>97647</v>
      </c>
      <c r="F24" s="81">
        <v>285.99</v>
      </c>
      <c r="G24" s="82">
        <v>2.2799999999999998</v>
      </c>
      <c r="H24" s="83">
        <f t="shared" si="0"/>
        <v>2.9</v>
      </c>
      <c r="I24" s="83">
        <f t="shared" si="1"/>
        <v>829.37</v>
      </c>
      <c r="J24" s="124">
        <v>1</v>
      </c>
      <c r="K24" s="125" t="e">
        <f>(J24*#REF!)</f>
        <v>#REF!</v>
      </c>
      <c r="L24" s="103"/>
      <c r="N24" s="106"/>
    </row>
    <row r="25" spans="2:17" s="2" customFormat="1" ht="15.75" customHeight="1">
      <c r="B25" s="355" t="s">
        <v>6</v>
      </c>
      <c r="C25" s="356"/>
      <c r="D25" s="356"/>
      <c r="E25" s="356"/>
      <c r="F25" s="356"/>
      <c r="G25" s="353">
        <f>(100%)</f>
        <v>1</v>
      </c>
      <c r="H25" s="354"/>
      <c r="I25" s="259">
        <f>SUM(I19:I24)</f>
        <v>3717.09</v>
      </c>
      <c r="J25" s="122" t="e">
        <f>(K25/#REF!)</f>
        <v>#REF!</v>
      </c>
      <c r="K25" s="123" t="e">
        <f>SUM(K19:K20)</f>
        <v>#REF!</v>
      </c>
      <c r="L25" s="73"/>
      <c r="N25" s="7"/>
    </row>
    <row r="26" spans="2:17" s="101" customFormat="1" ht="15.75" customHeight="1">
      <c r="B26" s="257">
        <v>3</v>
      </c>
      <c r="C26" s="21" t="s">
        <v>4</v>
      </c>
      <c r="D26" s="20"/>
      <c r="E26" s="18"/>
      <c r="F26" s="22"/>
      <c r="G26" s="17"/>
      <c r="H26" s="23"/>
      <c r="I26" s="23"/>
      <c r="J26" s="361" t="s">
        <v>51</v>
      </c>
      <c r="K26" s="361"/>
      <c r="L26" s="100"/>
      <c r="N26" s="350"/>
      <c r="O26" s="350"/>
      <c r="P26" s="350"/>
      <c r="Q26" s="102"/>
    </row>
    <row r="27" spans="2:17" s="104" customFormat="1" ht="18" customHeight="1">
      <c r="B27" s="258" t="s">
        <v>107</v>
      </c>
      <c r="C27" s="85" t="s">
        <v>31</v>
      </c>
      <c r="D27" s="19" t="s">
        <v>56</v>
      </c>
      <c r="E27" s="235" t="s">
        <v>67</v>
      </c>
      <c r="F27" s="81">
        <v>3.125</v>
      </c>
      <c r="G27" s="82">
        <v>569.12</v>
      </c>
      <c r="H27" s="83">
        <f>TRUNC(G27*$H$15+G27,2)</f>
        <v>726.36</v>
      </c>
      <c r="I27" s="83">
        <f>TRUNC(H27*F27,2)</f>
        <v>2269.87</v>
      </c>
      <c r="J27" s="124">
        <v>0</v>
      </c>
      <c r="K27" s="125" t="e">
        <f>(J27*#REF!)</f>
        <v>#REF!</v>
      </c>
      <c r="L27" s="103"/>
      <c r="N27" s="350"/>
      <c r="O27" s="350"/>
      <c r="P27" s="350"/>
      <c r="Q27" s="105"/>
    </row>
    <row r="28" spans="2:17" s="104" customFormat="1" ht="34.5" customHeight="1">
      <c r="B28" s="258" t="s">
        <v>112</v>
      </c>
      <c r="C28" s="85" t="s">
        <v>68</v>
      </c>
      <c r="D28" s="19" t="s">
        <v>56</v>
      </c>
      <c r="E28" s="236">
        <v>93584</v>
      </c>
      <c r="F28" s="81">
        <v>6</v>
      </c>
      <c r="G28" s="82">
        <v>469.72</v>
      </c>
      <c r="H28" s="83">
        <f>TRUNC(G28*$H$15+G28,2)</f>
        <v>599.5</v>
      </c>
      <c r="I28" s="83">
        <f>TRUNC(H28*F28,2)</f>
        <v>3597</v>
      </c>
      <c r="J28" s="124">
        <v>1</v>
      </c>
      <c r="K28" s="125" t="e">
        <f>(J28*#REF!)</f>
        <v>#REF!</v>
      </c>
      <c r="L28" s="103"/>
      <c r="N28" s="106"/>
    </row>
    <row r="29" spans="2:17" s="2" customFormat="1" ht="15.75" customHeight="1">
      <c r="B29" s="355" t="s">
        <v>6</v>
      </c>
      <c r="C29" s="356"/>
      <c r="D29" s="356"/>
      <c r="E29" s="356"/>
      <c r="F29" s="356"/>
      <c r="G29" s="353">
        <f>(100%)</f>
        <v>1</v>
      </c>
      <c r="H29" s="354"/>
      <c r="I29" s="259">
        <f>SUM(I27:I28)</f>
        <v>5866.87</v>
      </c>
      <c r="J29" s="122" t="e">
        <f>(K29/#REF!)</f>
        <v>#REF!</v>
      </c>
      <c r="K29" s="123" t="e">
        <f>SUM(K27:K28)</f>
        <v>#REF!</v>
      </c>
      <c r="L29" s="73"/>
      <c r="N29" s="7"/>
    </row>
    <row r="30" spans="2:17" s="104" customFormat="1" ht="18.75" customHeight="1">
      <c r="B30" s="257">
        <v>4</v>
      </c>
      <c r="C30" s="233" t="s">
        <v>5</v>
      </c>
      <c r="D30" s="393"/>
      <c r="E30" s="393"/>
      <c r="F30" s="393"/>
      <c r="G30" s="393"/>
      <c r="H30" s="393"/>
      <c r="I30" s="394"/>
      <c r="J30" s="103"/>
      <c r="K30" s="103"/>
      <c r="L30" s="107"/>
      <c r="N30" s="106"/>
    </row>
    <row r="31" spans="2:17" s="104" customFormat="1" ht="34.5" customHeight="1">
      <c r="B31" s="258" t="s">
        <v>113</v>
      </c>
      <c r="C31" s="78" t="s">
        <v>146</v>
      </c>
      <c r="D31" s="19" t="s">
        <v>58</v>
      </c>
      <c r="E31" s="80">
        <v>93358</v>
      </c>
      <c r="F31" s="81">
        <v>14.28</v>
      </c>
      <c r="G31" s="82">
        <v>55.89</v>
      </c>
      <c r="H31" s="83">
        <f>TRUNC((G31*$H$15)+G31,2)</f>
        <v>71.33</v>
      </c>
      <c r="I31" s="83">
        <f>TRUNC(H31*F31,2)</f>
        <v>1018.59</v>
      </c>
      <c r="J31" s="124">
        <v>0</v>
      </c>
      <c r="K31" s="125" t="e">
        <f>(J31*#REF!)</f>
        <v>#REF!</v>
      </c>
      <c r="L31" s="103"/>
      <c r="N31" s="106"/>
    </row>
    <row r="32" spans="2:17" s="104" customFormat="1" ht="29.25" customHeight="1">
      <c r="B32" s="258" t="s">
        <v>114</v>
      </c>
      <c r="C32" s="78" t="s">
        <v>105</v>
      </c>
      <c r="D32" s="19" t="s">
        <v>58</v>
      </c>
      <c r="E32" s="234">
        <v>96995</v>
      </c>
      <c r="F32" s="81">
        <v>10.26</v>
      </c>
      <c r="G32" s="82">
        <v>33.89</v>
      </c>
      <c r="H32" s="83">
        <f>TRUNC((G32*$H$15)+G32,2)</f>
        <v>43.25</v>
      </c>
      <c r="I32" s="83">
        <f>TRUNC(H32*F32,2)</f>
        <v>443.74</v>
      </c>
      <c r="J32" s="124">
        <v>0</v>
      </c>
      <c r="K32" s="125" t="e">
        <f>(J32*#REF!)</f>
        <v>#REF!</v>
      </c>
      <c r="L32" s="103"/>
      <c r="N32" s="106"/>
    </row>
    <row r="33" spans="2:14" s="104" customFormat="1" ht="30" customHeight="1">
      <c r="B33" s="258" t="s">
        <v>115</v>
      </c>
      <c r="C33" s="78" t="s">
        <v>405</v>
      </c>
      <c r="D33" s="19" t="s">
        <v>56</v>
      </c>
      <c r="E33" s="80">
        <v>94097</v>
      </c>
      <c r="F33" s="81">
        <v>9.52</v>
      </c>
      <c r="G33" s="82">
        <v>4.0999999999999996</v>
      </c>
      <c r="H33" s="83">
        <f>TRUNC((G33*$H$15)+G33,2)</f>
        <v>5.23</v>
      </c>
      <c r="I33" s="83">
        <f>TRUNC(H33*F33,2)</f>
        <v>49.78</v>
      </c>
      <c r="J33" s="124">
        <v>0</v>
      </c>
      <c r="K33" s="125" t="e">
        <f>(J33*#REF!)</f>
        <v>#REF!</v>
      </c>
      <c r="L33" s="103"/>
      <c r="N33" s="106"/>
    </row>
    <row r="34" spans="2:14" s="2" customFormat="1" ht="15.75" customHeight="1">
      <c r="B34" s="355" t="s">
        <v>6</v>
      </c>
      <c r="C34" s="356"/>
      <c r="D34" s="356"/>
      <c r="E34" s="356"/>
      <c r="F34" s="356"/>
      <c r="G34" s="353">
        <f>(100%)</f>
        <v>1</v>
      </c>
      <c r="H34" s="354"/>
      <c r="I34" s="259">
        <f>SUM(I31:I33)</f>
        <v>1512.11</v>
      </c>
      <c r="J34" s="122">
        <v>0</v>
      </c>
      <c r="K34" s="123" t="e">
        <f>SUM(K30:K33)</f>
        <v>#REF!</v>
      </c>
      <c r="L34" s="73"/>
      <c r="N34" s="7"/>
    </row>
    <row r="35" spans="2:14" s="104" customFormat="1" ht="16.5" customHeight="1">
      <c r="B35" s="257">
        <v>5</v>
      </c>
      <c r="C35" s="21" t="s">
        <v>39</v>
      </c>
      <c r="D35" s="359"/>
      <c r="E35" s="359"/>
      <c r="F35" s="359"/>
      <c r="G35" s="359"/>
      <c r="H35" s="359"/>
      <c r="I35" s="360"/>
      <c r="J35" s="103"/>
      <c r="K35" s="103"/>
      <c r="L35" s="108"/>
      <c r="N35" s="106"/>
    </row>
    <row r="36" spans="2:14" s="104" customFormat="1" ht="42" customHeight="1">
      <c r="B36" s="258" t="s">
        <v>116</v>
      </c>
      <c r="C36" s="237" t="s">
        <v>65</v>
      </c>
      <c r="D36" s="19" t="s">
        <v>58</v>
      </c>
      <c r="E36" s="80">
        <v>94962</v>
      </c>
      <c r="F36" s="81">
        <v>0.48</v>
      </c>
      <c r="G36" s="82">
        <v>253.15</v>
      </c>
      <c r="H36" s="83">
        <f>TRUNC((G36*$H$15)+G36,2)</f>
        <v>323.08999999999997</v>
      </c>
      <c r="I36" s="83">
        <f>TRUNC(H36*F36,2)</f>
        <v>155.08000000000001</v>
      </c>
      <c r="J36" s="124">
        <v>0</v>
      </c>
      <c r="K36" s="125" t="e">
        <f>(J36*#REF!)</f>
        <v>#REF!</v>
      </c>
      <c r="L36" s="103"/>
      <c r="N36" s="106"/>
    </row>
    <row r="37" spans="2:14" s="104" customFormat="1" ht="30" customHeight="1">
      <c r="B37" s="258" t="s">
        <v>117</v>
      </c>
      <c r="C37" s="78" t="s">
        <v>71</v>
      </c>
      <c r="D37" s="19" t="s">
        <v>58</v>
      </c>
      <c r="E37" s="80">
        <v>94965</v>
      </c>
      <c r="F37" s="81">
        <v>7.08</v>
      </c>
      <c r="G37" s="82">
        <v>319.26</v>
      </c>
      <c r="H37" s="83">
        <f t="shared" ref="H37:H43" si="2">TRUNC((G37*$H$15)+G37,2)</f>
        <v>407.47</v>
      </c>
      <c r="I37" s="83">
        <f t="shared" ref="I37:I43" si="3">TRUNC(H37*F37,2)</f>
        <v>2884.88</v>
      </c>
      <c r="J37" s="124">
        <v>0</v>
      </c>
      <c r="K37" s="125" t="e">
        <f>(J37*#REF!)</f>
        <v>#REF!</v>
      </c>
      <c r="L37" s="103"/>
      <c r="N37" s="106"/>
    </row>
    <row r="38" spans="2:14" s="101" customFormat="1" ht="33.75" customHeight="1">
      <c r="B38" s="258" t="s">
        <v>118</v>
      </c>
      <c r="C38" s="78" t="s">
        <v>331</v>
      </c>
      <c r="D38" s="19" t="s">
        <v>58</v>
      </c>
      <c r="E38" s="80" t="s">
        <v>330</v>
      </c>
      <c r="F38" s="81">
        <v>7.08</v>
      </c>
      <c r="G38" s="82">
        <v>92.65</v>
      </c>
      <c r="H38" s="83">
        <f>TRUNC((G38*$H$15)+G38,2)</f>
        <v>118.24</v>
      </c>
      <c r="I38" s="83">
        <f>TRUNC(H38*F38,2)</f>
        <v>837.13</v>
      </c>
      <c r="J38" s="124">
        <v>0</v>
      </c>
      <c r="K38" s="125" t="e">
        <f>(J38*#REF!)</f>
        <v>#REF!</v>
      </c>
      <c r="L38" s="103"/>
      <c r="N38" s="109"/>
    </row>
    <row r="39" spans="2:14" s="101" customFormat="1" ht="54.75" customHeight="1">
      <c r="B39" s="258" t="s">
        <v>246</v>
      </c>
      <c r="C39" s="78" t="s">
        <v>64</v>
      </c>
      <c r="D39" s="19" t="s">
        <v>56</v>
      </c>
      <c r="E39" s="80">
        <v>92422</v>
      </c>
      <c r="F39" s="81">
        <v>79.349999999999994</v>
      </c>
      <c r="G39" s="82">
        <v>47.55</v>
      </c>
      <c r="H39" s="83">
        <f t="shared" si="2"/>
        <v>60.68</v>
      </c>
      <c r="I39" s="83">
        <f t="shared" si="3"/>
        <v>4814.95</v>
      </c>
      <c r="J39" s="124">
        <v>0</v>
      </c>
      <c r="K39" s="125" t="e">
        <f>(J39*#REF!)</f>
        <v>#REF!</v>
      </c>
      <c r="L39" s="103"/>
      <c r="N39" s="109"/>
    </row>
    <row r="40" spans="2:14" s="101" customFormat="1" ht="36.75" customHeight="1">
      <c r="B40" s="258" t="s">
        <v>119</v>
      </c>
      <c r="C40" s="78" t="s">
        <v>77</v>
      </c>
      <c r="D40" s="19" t="s">
        <v>72</v>
      </c>
      <c r="E40" s="80">
        <v>96543</v>
      </c>
      <c r="F40" s="81">
        <v>97</v>
      </c>
      <c r="G40" s="82">
        <v>10.65</v>
      </c>
      <c r="H40" s="83">
        <f t="shared" si="2"/>
        <v>13.59</v>
      </c>
      <c r="I40" s="83">
        <f t="shared" si="3"/>
        <v>1318.23</v>
      </c>
      <c r="J40" s="124">
        <v>0</v>
      </c>
      <c r="K40" s="125" t="e">
        <f>(J40*#REF!)</f>
        <v>#REF!</v>
      </c>
      <c r="L40" s="103"/>
      <c r="N40" s="109"/>
    </row>
    <row r="41" spans="2:14" s="101" customFormat="1" ht="35.25" customHeight="1">
      <c r="B41" s="258" t="s">
        <v>120</v>
      </c>
      <c r="C41" s="78" t="s">
        <v>329</v>
      </c>
      <c r="D41" s="19" t="s">
        <v>72</v>
      </c>
      <c r="E41" s="80">
        <v>96544</v>
      </c>
      <c r="F41" s="81">
        <v>54</v>
      </c>
      <c r="G41" s="82">
        <v>9.19</v>
      </c>
      <c r="H41" s="83">
        <f t="shared" ref="H41" si="4">TRUNC((G41*$H$15)+G41,2)</f>
        <v>11.72</v>
      </c>
      <c r="I41" s="83">
        <f t="shared" ref="I41" si="5">TRUNC(H41*F41,2)</f>
        <v>632.88</v>
      </c>
      <c r="J41" s="124">
        <v>0</v>
      </c>
      <c r="K41" s="125" t="e">
        <f>(J41*#REF!)</f>
        <v>#REF!</v>
      </c>
      <c r="L41" s="103"/>
      <c r="N41" s="109"/>
    </row>
    <row r="42" spans="2:14" s="101" customFormat="1" ht="48" customHeight="1">
      <c r="B42" s="258" t="s">
        <v>359</v>
      </c>
      <c r="C42" s="78" t="s">
        <v>74</v>
      </c>
      <c r="D42" s="19" t="s">
        <v>72</v>
      </c>
      <c r="E42" s="80">
        <v>92777</v>
      </c>
      <c r="F42" s="81">
        <v>103</v>
      </c>
      <c r="G42" s="82">
        <v>8.7799999999999994</v>
      </c>
      <c r="H42" s="83">
        <f t="shared" si="2"/>
        <v>11.2</v>
      </c>
      <c r="I42" s="83">
        <f t="shared" si="3"/>
        <v>1153.5999999999999</v>
      </c>
      <c r="J42" s="124">
        <v>0</v>
      </c>
      <c r="K42" s="125" t="e">
        <f>(J42*#REF!)</f>
        <v>#REF!</v>
      </c>
      <c r="L42" s="103"/>
      <c r="N42" s="109"/>
    </row>
    <row r="43" spans="2:14" s="101" customFormat="1" ht="44.25" customHeight="1">
      <c r="B43" s="258" t="s">
        <v>360</v>
      </c>
      <c r="C43" s="78" t="s">
        <v>76</v>
      </c>
      <c r="D43" s="19" t="s">
        <v>72</v>
      </c>
      <c r="E43" s="80">
        <v>96546</v>
      </c>
      <c r="F43" s="81">
        <v>192</v>
      </c>
      <c r="G43" s="82">
        <v>7.15</v>
      </c>
      <c r="H43" s="83">
        <f t="shared" si="2"/>
        <v>9.1199999999999992</v>
      </c>
      <c r="I43" s="83">
        <f t="shared" si="3"/>
        <v>1751.04</v>
      </c>
      <c r="J43" s="124">
        <v>0</v>
      </c>
      <c r="K43" s="125" t="e">
        <f>(J43*#REF!)</f>
        <v>#REF!</v>
      </c>
      <c r="L43" s="103"/>
      <c r="N43" s="109"/>
    </row>
    <row r="44" spans="2:14" s="1" customFormat="1" ht="12.75" customHeight="1">
      <c r="B44" s="355" t="s">
        <v>6</v>
      </c>
      <c r="C44" s="356"/>
      <c r="D44" s="356"/>
      <c r="E44" s="356"/>
      <c r="F44" s="356"/>
      <c r="G44" s="353">
        <f>(100%)</f>
        <v>1</v>
      </c>
      <c r="H44" s="354"/>
      <c r="I44" s="259">
        <f>SUM(I36:I43)</f>
        <v>13547.79</v>
      </c>
      <c r="J44" s="122" t="e">
        <f>(K44/#REF!)</f>
        <v>#REF!</v>
      </c>
      <c r="K44" s="123" t="e">
        <f>SUM(K37:K43)</f>
        <v>#REF!</v>
      </c>
      <c r="L44" s="73"/>
      <c r="N44" s="6"/>
    </row>
    <row r="45" spans="2:14" s="104" customFormat="1" ht="17.25" customHeight="1">
      <c r="B45" s="257">
        <v>6</v>
      </c>
      <c r="C45" s="21" t="s">
        <v>38</v>
      </c>
      <c r="D45" s="359"/>
      <c r="E45" s="359"/>
      <c r="F45" s="359"/>
      <c r="G45" s="359"/>
      <c r="H45" s="359"/>
      <c r="I45" s="360"/>
      <c r="J45" s="103"/>
      <c r="K45" s="103"/>
      <c r="L45" s="108"/>
      <c r="N45" s="106"/>
    </row>
    <row r="46" spans="2:14" s="101" customFormat="1" ht="33.75" customHeight="1">
      <c r="B46" s="258" t="s">
        <v>121</v>
      </c>
      <c r="C46" s="78" t="s">
        <v>66</v>
      </c>
      <c r="D46" s="19" t="s">
        <v>58</v>
      </c>
      <c r="E46" s="80">
        <v>94965</v>
      </c>
      <c r="F46" s="81">
        <v>3.68</v>
      </c>
      <c r="G46" s="82">
        <v>319.26</v>
      </c>
      <c r="H46" s="83">
        <f>TRUNC((G46*$H$15)+G46,2)</f>
        <v>407.47</v>
      </c>
      <c r="I46" s="83">
        <f>TRUNC(H46*F46,2)</f>
        <v>1499.48</v>
      </c>
      <c r="J46" s="124">
        <v>0</v>
      </c>
      <c r="K46" s="125" t="e">
        <f>(J46*#REF!)</f>
        <v>#REF!</v>
      </c>
      <c r="L46" s="103"/>
      <c r="N46" s="109"/>
    </row>
    <row r="47" spans="2:14" s="101" customFormat="1" ht="33.75" customHeight="1">
      <c r="B47" s="258" t="s">
        <v>375</v>
      </c>
      <c r="C47" s="78" t="s">
        <v>331</v>
      </c>
      <c r="D47" s="19" t="s">
        <v>58</v>
      </c>
      <c r="E47" s="80" t="s">
        <v>330</v>
      </c>
      <c r="F47" s="81">
        <v>3.68</v>
      </c>
      <c r="G47" s="82">
        <v>92.65</v>
      </c>
      <c r="H47" s="83">
        <f>TRUNC((G47*$H$15)+G47,2)</f>
        <v>118.24</v>
      </c>
      <c r="I47" s="83">
        <f>TRUNC(H47*F47,2)</f>
        <v>435.12</v>
      </c>
      <c r="J47" s="124">
        <v>0</v>
      </c>
      <c r="K47" s="125" t="e">
        <f>(J47*#REF!)</f>
        <v>#REF!</v>
      </c>
      <c r="L47" s="103"/>
      <c r="N47" s="109"/>
    </row>
    <row r="48" spans="2:14" s="101" customFormat="1" ht="54.75" customHeight="1">
      <c r="B48" s="258" t="s">
        <v>376</v>
      </c>
      <c r="C48" s="78" t="s">
        <v>64</v>
      </c>
      <c r="D48" s="19" t="s">
        <v>56</v>
      </c>
      <c r="E48" s="80">
        <v>92422</v>
      </c>
      <c r="F48" s="81">
        <v>72.27</v>
      </c>
      <c r="G48" s="82">
        <v>47.55</v>
      </c>
      <c r="H48" s="83">
        <f t="shared" ref="H48:H51" si="6">TRUNC((G48*$H$15)+G48,2)</f>
        <v>60.68</v>
      </c>
      <c r="I48" s="83">
        <f t="shared" ref="I48:I51" si="7">TRUNC(H48*F48,2)</f>
        <v>4385.34</v>
      </c>
      <c r="J48" s="124">
        <v>0</v>
      </c>
      <c r="K48" s="125" t="e">
        <f>(J48*#REF!)</f>
        <v>#REF!</v>
      </c>
      <c r="L48" s="103"/>
      <c r="N48" s="109"/>
    </row>
    <row r="49" spans="1:14" s="101" customFormat="1" ht="47.25" customHeight="1">
      <c r="B49" s="258" t="s">
        <v>377</v>
      </c>
      <c r="C49" s="78" t="s">
        <v>73</v>
      </c>
      <c r="D49" s="19" t="s">
        <v>72</v>
      </c>
      <c r="E49" s="80">
        <v>92775</v>
      </c>
      <c r="F49" s="81">
        <v>76</v>
      </c>
      <c r="G49" s="82">
        <v>10.72</v>
      </c>
      <c r="H49" s="83">
        <f t="shared" si="6"/>
        <v>13.68</v>
      </c>
      <c r="I49" s="83">
        <f t="shared" si="7"/>
        <v>1039.68</v>
      </c>
      <c r="J49" s="124">
        <v>0</v>
      </c>
      <c r="K49" s="125" t="e">
        <f>(J49*#REF!)</f>
        <v>#REF!</v>
      </c>
      <c r="L49" s="103"/>
      <c r="N49" s="109"/>
    </row>
    <row r="50" spans="1:14" s="101" customFormat="1" ht="48" customHeight="1">
      <c r="B50" s="258" t="s">
        <v>378</v>
      </c>
      <c r="C50" s="78" t="s">
        <v>74</v>
      </c>
      <c r="D50" s="19" t="s">
        <v>72</v>
      </c>
      <c r="E50" s="80">
        <v>92777</v>
      </c>
      <c r="F50" s="81">
        <v>41</v>
      </c>
      <c r="G50" s="82">
        <v>8.7799999999999994</v>
      </c>
      <c r="H50" s="83">
        <f t="shared" si="6"/>
        <v>11.2</v>
      </c>
      <c r="I50" s="83">
        <f t="shared" si="7"/>
        <v>459.2</v>
      </c>
      <c r="J50" s="124">
        <v>0</v>
      </c>
      <c r="K50" s="125" t="e">
        <f>(J50*#REF!)</f>
        <v>#REF!</v>
      </c>
      <c r="L50" s="103"/>
      <c r="N50" s="109"/>
    </row>
    <row r="51" spans="1:14" s="101" customFormat="1" ht="55.5" customHeight="1">
      <c r="B51" s="258" t="s">
        <v>379</v>
      </c>
      <c r="C51" s="78" t="s">
        <v>75</v>
      </c>
      <c r="D51" s="19" t="s">
        <v>72</v>
      </c>
      <c r="E51" s="80">
        <v>92778</v>
      </c>
      <c r="F51" s="81">
        <v>142</v>
      </c>
      <c r="G51" s="82">
        <v>7.09</v>
      </c>
      <c r="H51" s="83">
        <f t="shared" si="6"/>
        <v>9.0399999999999991</v>
      </c>
      <c r="I51" s="83">
        <f t="shared" si="7"/>
        <v>1283.68</v>
      </c>
      <c r="J51" s="124">
        <v>0</v>
      </c>
      <c r="K51" s="125" t="e">
        <f>(J51*#REF!)</f>
        <v>#REF!</v>
      </c>
      <c r="L51" s="103"/>
      <c r="N51" s="109"/>
    </row>
    <row r="52" spans="1:14" s="1" customFormat="1" ht="12.75" customHeight="1">
      <c r="B52" s="355" t="s">
        <v>6</v>
      </c>
      <c r="C52" s="356"/>
      <c r="D52" s="356"/>
      <c r="E52" s="356"/>
      <c r="F52" s="356"/>
      <c r="G52" s="353">
        <f>(100%)</f>
        <v>1</v>
      </c>
      <c r="H52" s="354"/>
      <c r="I52" s="259">
        <f>SUM(I46:I51)</f>
        <v>9102.5</v>
      </c>
      <c r="J52" s="122" t="e">
        <f>(K52/#REF!)</f>
        <v>#REF!</v>
      </c>
      <c r="K52" s="123" t="e">
        <f>SUM(K46:K51)</f>
        <v>#REF!</v>
      </c>
      <c r="L52" s="73"/>
      <c r="N52" s="6"/>
    </row>
    <row r="53" spans="1:14" s="1" customFormat="1">
      <c r="B53" s="257">
        <v>7</v>
      </c>
      <c r="C53" s="61" t="s">
        <v>40</v>
      </c>
      <c r="D53" s="357"/>
      <c r="E53" s="357"/>
      <c r="F53" s="357"/>
      <c r="G53" s="357"/>
      <c r="H53" s="357"/>
      <c r="I53" s="358"/>
      <c r="J53" s="79"/>
      <c r="K53" s="79"/>
      <c r="L53" s="74"/>
      <c r="N53" s="6"/>
    </row>
    <row r="54" spans="1:14" s="104" customFormat="1" ht="45" customHeight="1">
      <c r="B54" s="258" t="s">
        <v>122</v>
      </c>
      <c r="C54" s="237" t="s">
        <v>106</v>
      </c>
      <c r="D54" s="19" t="s">
        <v>56</v>
      </c>
      <c r="E54" s="317" t="s">
        <v>61</v>
      </c>
      <c r="F54" s="17">
        <v>77.290000000000006</v>
      </c>
      <c r="G54" s="82">
        <v>9.61</v>
      </c>
      <c r="H54" s="83">
        <f>TRUNC((G54*$H$15)+G54,2)</f>
        <v>12.26</v>
      </c>
      <c r="I54" s="83">
        <f>TRUNC(H54*F54,2)</f>
        <v>947.57</v>
      </c>
      <c r="J54" s="124">
        <v>0</v>
      </c>
      <c r="K54" s="125" t="e">
        <f>(J54*#REF!)</f>
        <v>#REF!</v>
      </c>
      <c r="L54" s="103"/>
      <c r="N54" s="106"/>
    </row>
    <row r="55" spans="1:14" s="1" customFormat="1" ht="12.75" customHeight="1">
      <c r="B55" s="355" t="s">
        <v>6</v>
      </c>
      <c r="C55" s="356"/>
      <c r="D55" s="356"/>
      <c r="E55" s="356"/>
      <c r="F55" s="356"/>
      <c r="G55" s="353">
        <f>(100%)</f>
        <v>1</v>
      </c>
      <c r="H55" s="354"/>
      <c r="I55" s="259">
        <f>SUM(I54:I54)</f>
        <v>947.57</v>
      </c>
      <c r="J55" s="122">
        <v>0</v>
      </c>
      <c r="K55" s="123" t="e">
        <f>SUM(K54)</f>
        <v>#REF!</v>
      </c>
      <c r="L55" s="73"/>
      <c r="N55" s="6"/>
    </row>
    <row r="56" spans="1:14" s="111" customFormat="1" ht="19.5" customHeight="1">
      <c r="B56" s="257">
        <v>8</v>
      </c>
      <c r="C56" s="21" t="s">
        <v>41</v>
      </c>
      <c r="D56" s="351"/>
      <c r="E56" s="351"/>
      <c r="F56" s="351"/>
      <c r="G56" s="351"/>
      <c r="H56" s="351"/>
      <c r="I56" s="352"/>
      <c r="J56" s="103"/>
      <c r="K56" s="103"/>
      <c r="L56" s="110"/>
      <c r="N56" s="112"/>
    </row>
    <row r="57" spans="1:14" s="111" customFormat="1" ht="57.75" customHeight="1">
      <c r="B57" s="258" t="s">
        <v>123</v>
      </c>
      <c r="C57" s="237" t="s">
        <v>70</v>
      </c>
      <c r="D57" s="19" t="s">
        <v>56</v>
      </c>
      <c r="E57" s="80">
        <v>87521</v>
      </c>
      <c r="F57" s="81">
        <v>141.54</v>
      </c>
      <c r="G57" s="82">
        <v>55.21</v>
      </c>
      <c r="H57" s="83">
        <f>TRUNC(G57*$H$15+G57,2)</f>
        <v>70.459999999999994</v>
      </c>
      <c r="I57" s="83">
        <f>TRUNC(H57*F57,2)</f>
        <v>9972.9</v>
      </c>
      <c r="J57" s="124">
        <v>0</v>
      </c>
      <c r="K57" s="125" t="e">
        <f>(J57*#REF!)</f>
        <v>#REF!</v>
      </c>
      <c r="L57" s="103"/>
      <c r="N57" s="112"/>
    </row>
    <row r="58" spans="1:14" s="111" customFormat="1" ht="66.75" customHeight="1">
      <c r="B58" s="258" t="s">
        <v>124</v>
      </c>
      <c r="C58" s="237" t="s">
        <v>328</v>
      </c>
      <c r="D58" s="19" t="s">
        <v>56</v>
      </c>
      <c r="E58" s="80">
        <v>87520</v>
      </c>
      <c r="F58" s="81">
        <v>17.190000000000001</v>
      </c>
      <c r="G58" s="82">
        <v>57.61</v>
      </c>
      <c r="H58" s="83">
        <f>TRUNC(G58*$H$15+G58,2)</f>
        <v>73.52</v>
      </c>
      <c r="I58" s="83">
        <f>TRUNC(H58*F58,2)</f>
        <v>1263.8</v>
      </c>
      <c r="J58" s="124">
        <v>0</v>
      </c>
      <c r="K58" s="125" t="e">
        <f>(J58*#REF!)</f>
        <v>#REF!</v>
      </c>
      <c r="L58" s="103"/>
      <c r="N58" s="112"/>
    </row>
    <row r="59" spans="1:14" s="111" customFormat="1" ht="31.5" customHeight="1">
      <c r="B59" s="258" t="s">
        <v>125</v>
      </c>
      <c r="C59" s="78" t="s">
        <v>243</v>
      </c>
      <c r="D59" s="19" t="s">
        <v>55</v>
      </c>
      <c r="E59" s="80">
        <v>93186</v>
      </c>
      <c r="F59" s="81">
        <v>7.2</v>
      </c>
      <c r="G59" s="82">
        <v>33.04</v>
      </c>
      <c r="H59" s="83">
        <f>TRUNC(G59*$H$15+G59,2)</f>
        <v>42.16</v>
      </c>
      <c r="I59" s="83">
        <f>TRUNC(H59*F59,2)</f>
        <v>303.55</v>
      </c>
      <c r="J59" s="124">
        <v>0</v>
      </c>
      <c r="K59" s="125" t="e">
        <f>(J59*#REF!)</f>
        <v>#REF!</v>
      </c>
      <c r="L59" s="103"/>
      <c r="N59" s="112"/>
    </row>
    <row r="60" spans="1:14" s="111" customFormat="1" ht="39.75" customHeight="1">
      <c r="B60" s="258" t="s">
        <v>126</v>
      </c>
      <c r="C60" s="78" t="s">
        <v>335</v>
      </c>
      <c r="D60" s="19" t="s">
        <v>55</v>
      </c>
      <c r="E60" s="80">
        <v>93188</v>
      </c>
      <c r="F60" s="81">
        <v>4.0999999999999996</v>
      </c>
      <c r="G60" s="82">
        <v>32.46</v>
      </c>
      <c r="H60" s="83">
        <f>TRUNC(G60*$H$15+G60,2)</f>
        <v>41.42</v>
      </c>
      <c r="I60" s="83">
        <f>TRUNC(H60*F60,2)</f>
        <v>169.82</v>
      </c>
      <c r="J60" s="124">
        <v>0</v>
      </c>
      <c r="K60" s="125" t="e">
        <f>(J60*#REF!)</f>
        <v>#REF!</v>
      </c>
      <c r="L60" s="103"/>
      <c r="N60" s="112"/>
    </row>
    <row r="61" spans="1:14" s="1" customFormat="1" ht="15" customHeight="1">
      <c r="B61" s="355" t="s">
        <v>6</v>
      </c>
      <c r="C61" s="356"/>
      <c r="D61" s="356"/>
      <c r="E61" s="356"/>
      <c r="F61" s="356"/>
      <c r="G61" s="353">
        <f>(100%)</f>
        <v>1</v>
      </c>
      <c r="H61" s="354"/>
      <c r="I61" s="259">
        <f>SUM(I57:I60)</f>
        <v>11710.069999999998</v>
      </c>
      <c r="J61" s="122" t="e">
        <f>(K61/#REF!)</f>
        <v>#REF!</v>
      </c>
      <c r="K61" s="123" t="e">
        <f>SUM(K58:K59)</f>
        <v>#REF!</v>
      </c>
      <c r="L61" s="73"/>
      <c r="N61" s="6"/>
    </row>
    <row r="62" spans="1:14" s="111" customFormat="1" ht="19.5" customHeight="1">
      <c r="B62" s="257">
        <v>9</v>
      </c>
      <c r="C62" s="21" t="s">
        <v>42</v>
      </c>
      <c r="D62" s="351"/>
      <c r="E62" s="351"/>
      <c r="F62" s="351"/>
      <c r="G62" s="351"/>
      <c r="H62" s="351"/>
      <c r="I62" s="352"/>
      <c r="J62" s="103"/>
      <c r="K62" s="103"/>
      <c r="L62" s="110"/>
      <c r="N62" s="112"/>
    </row>
    <row r="63" spans="1:14" s="111" customFormat="1" ht="42.75" customHeight="1">
      <c r="B63" s="258" t="s">
        <v>127</v>
      </c>
      <c r="C63" s="237" t="s">
        <v>62</v>
      </c>
      <c r="D63" s="19" t="s">
        <v>56</v>
      </c>
      <c r="E63" s="80">
        <v>87905</v>
      </c>
      <c r="F63" s="81">
        <v>301.08</v>
      </c>
      <c r="G63" s="82">
        <v>5.79</v>
      </c>
      <c r="H63" s="83">
        <f t="shared" ref="H63:H64" si="8">TRUNC(G63*$H$15+G63,2)</f>
        <v>7.38</v>
      </c>
      <c r="I63" s="83">
        <f t="shared" ref="I63:I64" si="9">TRUNC(H63*F63,2)</f>
        <v>2221.9699999999998</v>
      </c>
      <c r="J63" s="124">
        <v>0</v>
      </c>
      <c r="K63" s="125" t="e">
        <f>(J63*#REF!)</f>
        <v>#REF!</v>
      </c>
      <c r="L63" s="103"/>
      <c r="N63" s="112"/>
    </row>
    <row r="64" spans="1:14" s="111" customFormat="1" ht="63.75">
      <c r="A64" s="299"/>
      <c r="B64" s="258" t="s">
        <v>128</v>
      </c>
      <c r="C64" s="78" t="s">
        <v>407</v>
      </c>
      <c r="D64" s="19" t="s">
        <v>56</v>
      </c>
      <c r="E64" s="80">
        <v>87535</v>
      </c>
      <c r="F64" s="81">
        <v>209.78</v>
      </c>
      <c r="G64" s="82">
        <v>20.29</v>
      </c>
      <c r="H64" s="83">
        <f t="shared" si="8"/>
        <v>25.89</v>
      </c>
      <c r="I64" s="83">
        <f t="shared" si="9"/>
        <v>5431.2</v>
      </c>
      <c r="J64" s="124">
        <v>0</v>
      </c>
      <c r="K64" s="125" t="e">
        <f>(J64*#REF!)</f>
        <v>#REF!</v>
      </c>
      <c r="L64" s="103"/>
      <c r="N64" s="112"/>
    </row>
    <row r="65" spans="1:14" s="111" customFormat="1" ht="51">
      <c r="A65" s="299"/>
      <c r="B65" s="258" t="s">
        <v>128</v>
      </c>
      <c r="C65" s="78" t="s">
        <v>406</v>
      </c>
      <c r="D65" s="19" t="s">
        <v>56</v>
      </c>
      <c r="E65" s="80">
        <v>87529</v>
      </c>
      <c r="F65" s="81">
        <v>91.3</v>
      </c>
      <c r="G65" s="82">
        <v>23.65</v>
      </c>
      <c r="H65" s="83">
        <f t="shared" ref="H65" si="10">TRUNC(G65*$H$15+G65,2)</f>
        <v>30.18</v>
      </c>
      <c r="I65" s="83">
        <f t="shared" ref="I65" si="11">TRUNC(H65*F65,2)</f>
        <v>2755.43</v>
      </c>
      <c r="J65" s="124">
        <v>0</v>
      </c>
      <c r="K65" s="125" t="e">
        <f>(J65*#REF!)</f>
        <v>#REF!</v>
      </c>
      <c r="L65" s="103"/>
      <c r="N65" s="112"/>
    </row>
    <row r="66" spans="1:14" s="111" customFormat="1" ht="57" customHeight="1">
      <c r="B66" s="258" t="s">
        <v>245</v>
      </c>
      <c r="C66" s="78" t="s">
        <v>241</v>
      </c>
      <c r="D66" s="84" t="s">
        <v>59</v>
      </c>
      <c r="E66" s="80">
        <v>87273</v>
      </c>
      <c r="F66" s="81">
        <v>209.78</v>
      </c>
      <c r="G66" s="82">
        <v>51.45</v>
      </c>
      <c r="H66" s="83">
        <f t="shared" ref="H66" si="12">TRUNC(G66*$H$15+G66,2)</f>
        <v>65.66</v>
      </c>
      <c r="I66" s="83">
        <f t="shared" ref="I66" si="13">TRUNC(H66*F66,2)</f>
        <v>13774.15</v>
      </c>
      <c r="J66" s="124">
        <v>0</v>
      </c>
      <c r="K66" s="125" t="e">
        <f>(J66*#REF!)</f>
        <v>#REF!</v>
      </c>
      <c r="L66" s="103"/>
      <c r="N66" s="112"/>
    </row>
    <row r="67" spans="1:14" s="1" customFormat="1" ht="12.75" customHeight="1">
      <c r="B67" s="355" t="s">
        <v>6</v>
      </c>
      <c r="C67" s="356"/>
      <c r="D67" s="356"/>
      <c r="E67" s="356"/>
      <c r="F67" s="356"/>
      <c r="G67" s="353">
        <f>(100%)</f>
        <v>1</v>
      </c>
      <c r="H67" s="354"/>
      <c r="I67" s="259">
        <f>SUM(I63:I66)</f>
        <v>24182.75</v>
      </c>
      <c r="J67" s="126" t="e">
        <f>(K67/#REF!)</f>
        <v>#REF!</v>
      </c>
      <c r="K67" s="123" t="e">
        <f>SUM(K63:K66)</f>
        <v>#REF!</v>
      </c>
      <c r="L67" s="73"/>
      <c r="N67" s="6"/>
    </row>
    <row r="68" spans="1:14" s="111" customFormat="1">
      <c r="B68" s="257">
        <v>10</v>
      </c>
      <c r="C68" s="62" t="s">
        <v>43</v>
      </c>
      <c r="D68" s="351"/>
      <c r="E68" s="351"/>
      <c r="F68" s="351"/>
      <c r="G68" s="351"/>
      <c r="H68" s="351"/>
      <c r="I68" s="352"/>
      <c r="J68" s="103"/>
      <c r="K68" s="103"/>
      <c r="L68" s="110"/>
      <c r="N68" s="112"/>
    </row>
    <row r="69" spans="1:14" s="134" customFormat="1" ht="48.75" customHeight="1">
      <c r="B69" s="258" t="s">
        <v>129</v>
      </c>
      <c r="C69" s="78" t="s">
        <v>294</v>
      </c>
      <c r="D69" s="84" t="s">
        <v>78</v>
      </c>
      <c r="E69" s="80">
        <v>92256</v>
      </c>
      <c r="F69" s="81">
        <v>6</v>
      </c>
      <c r="G69" s="82">
        <v>135.59</v>
      </c>
      <c r="H69" s="83">
        <f t="shared" ref="H69" si="14">TRUNC(G69*$H$15+G69,2)</f>
        <v>173.05</v>
      </c>
      <c r="I69" s="83">
        <f t="shared" ref="I69" si="15">TRUNC(H69*F69,2)</f>
        <v>1038.3</v>
      </c>
      <c r="J69" s="131">
        <v>0</v>
      </c>
      <c r="K69" s="132" t="e">
        <f>(J69*#REF!)</f>
        <v>#REF!</v>
      </c>
      <c r="L69" s="133"/>
      <c r="N69" s="135"/>
    </row>
    <row r="70" spans="1:14" s="134" customFormat="1" ht="48.75" customHeight="1">
      <c r="B70" s="258" t="s">
        <v>130</v>
      </c>
      <c r="C70" s="78" t="s">
        <v>345</v>
      </c>
      <c r="D70" s="84" t="s">
        <v>78</v>
      </c>
      <c r="E70" s="80">
        <v>92255</v>
      </c>
      <c r="F70" s="81">
        <v>9</v>
      </c>
      <c r="G70" s="82">
        <v>110.44</v>
      </c>
      <c r="H70" s="83">
        <f t="shared" ref="H70" si="16">TRUNC(G70*$H$15+G70,2)</f>
        <v>140.94999999999999</v>
      </c>
      <c r="I70" s="83">
        <f t="shared" ref="I70" si="17">TRUNC(H70*F70,2)</f>
        <v>1268.55</v>
      </c>
      <c r="J70" s="131">
        <v>0</v>
      </c>
      <c r="K70" s="132" t="e">
        <f>(J70*#REF!)</f>
        <v>#REF!</v>
      </c>
      <c r="L70" s="133"/>
      <c r="N70" s="135"/>
    </row>
    <row r="71" spans="1:14" s="134" customFormat="1" ht="48.75" customHeight="1">
      <c r="B71" s="258" t="s">
        <v>361</v>
      </c>
      <c r="C71" s="78" t="s">
        <v>295</v>
      </c>
      <c r="D71" s="84" t="s">
        <v>56</v>
      </c>
      <c r="E71" s="163">
        <v>92580</v>
      </c>
      <c r="F71" s="81">
        <v>323.39</v>
      </c>
      <c r="G71" s="82">
        <v>27.5</v>
      </c>
      <c r="H71" s="83">
        <f t="shared" ref="H71" si="18">TRUNC(G71*$H$15+G71,2)</f>
        <v>35.090000000000003</v>
      </c>
      <c r="I71" s="83">
        <f t="shared" ref="I71" si="19">TRUNC(H71*F71,2)</f>
        <v>11347.75</v>
      </c>
      <c r="J71" s="131">
        <v>0</v>
      </c>
      <c r="K71" s="132" t="e">
        <f>(J71*#REF!)</f>
        <v>#REF!</v>
      </c>
      <c r="L71" s="133"/>
      <c r="N71" s="135"/>
    </row>
    <row r="72" spans="1:14" s="134" customFormat="1" ht="48.75" customHeight="1">
      <c r="B72" s="258" t="s">
        <v>362</v>
      </c>
      <c r="C72" s="78" t="s">
        <v>408</v>
      </c>
      <c r="D72" s="84" t="s">
        <v>56</v>
      </c>
      <c r="E72" s="163">
        <v>94226</v>
      </c>
      <c r="F72" s="81">
        <v>323.39</v>
      </c>
      <c r="G72" s="82">
        <v>13.31</v>
      </c>
      <c r="H72" s="83">
        <f t="shared" ref="H72:H73" si="20">TRUNC(G72*$H$15+G72,2)</f>
        <v>16.98</v>
      </c>
      <c r="I72" s="83">
        <f t="shared" ref="I72:I73" si="21">TRUNC(H72*F72,2)</f>
        <v>5491.16</v>
      </c>
      <c r="J72" s="131">
        <v>0</v>
      </c>
      <c r="K72" s="132" t="e">
        <f>(J72*#REF!)</f>
        <v>#REF!</v>
      </c>
      <c r="L72" s="133"/>
      <c r="N72" s="135"/>
    </row>
    <row r="73" spans="1:14" s="134" customFormat="1" ht="25.5">
      <c r="B73" s="258" t="s">
        <v>410</v>
      </c>
      <c r="C73" s="78" t="s">
        <v>482</v>
      </c>
      <c r="D73" s="84" t="s">
        <v>55</v>
      </c>
      <c r="E73" s="163">
        <v>94223</v>
      </c>
      <c r="F73" s="81">
        <v>32.049999999999997</v>
      </c>
      <c r="G73" s="82">
        <v>41.81</v>
      </c>
      <c r="H73" s="83">
        <f t="shared" si="20"/>
        <v>53.36</v>
      </c>
      <c r="I73" s="83">
        <f t="shared" si="21"/>
        <v>1710.18</v>
      </c>
      <c r="J73" s="131">
        <v>0</v>
      </c>
      <c r="K73" s="132" t="e">
        <f>(J73*#REF!)</f>
        <v>#REF!</v>
      </c>
      <c r="L73" s="133"/>
      <c r="N73" s="135"/>
    </row>
    <row r="74" spans="1:14" s="134" customFormat="1" ht="51">
      <c r="B74" s="258" t="s">
        <v>410</v>
      </c>
      <c r="C74" s="78" t="s">
        <v>409</v>
      </c>
      <c r="D74" s="84" t="s">
        <v>56</v>
      </c>
      <c r="E74" s="163">
        <v>94207</v>
      </c>
      <c r="F74" s="81">
        <v>150.55000000000001</v>
      </c>
      <c r="G74" s="82">
        <v>32.21</v>
      </c>
      <c r="H74" s="83">
        <f t="shared" ref="H74" si="22">TRUNC(G74*$H$15+G74,2)</f>
        <v>41.1</v>
      </c>
      <c r="I74" s="83">
        <f t="shared" ref="I74" si="23">TRUNC(H74*F74,2)</f>
        <v>6187.6</v>
      </c>
      <c r="J74" s="131">
        <v>0</v>
      </c>
      <c r="K74" s="132" t="e">
        <f>(J74*#REF!)</f>
        <v>#REF!</v>
      </c>
      <c r="L74" s="133"/>
      <c r="N74" s="135"/>
    </row>
    <row r="75" spans="1:14" s="1" customFormat="1" ht="12.75" customHeight="1">
      <c r="B75" s="355" t="s">
        <v>6</v>
      </c>
      <c r="C75" s="356"/>
      <c r="D75" s="356"/>
      <c r="E75" s="356"/>
      <c r="F75" s="356"/>
      <c r="G75" s="353">
        <f>(100%)</f>
        <v>1</v>
      </c>
      <c r="H75" s="354"/>
      <c r="I75" s="259">
        <f>SUM(I69:I74)</f>
        <v>27043.54</v>
      </c>
      <c r="J75" s="126" t="e">
        <f>(K75/#REF!)</f>
        <v>#REF!</v>
      </c>
      <c r="K75" s="123" t="e">
        <f>SUM(#REF!)</f>
        <v>#REF!</v>
      </c>
      <c r="L75" s="73"/>
      <c r="N75" s="6"/>
    </row>
    <row r="76" spans="1:14" s="111" customFormat="1">
      <c r="B76" s="257">
        <v>11</v>
      </c>
      <c r="C76" s="62" t="s">
        <v>411</v>
      </c>
      <c r="D76" s="351"/>
      <c r="E76" s="351"/>
      <c r="F76" s="351"/>
      <c r="G76" s="351"/>
      <c r="H76" s="351"/>
      <c r="I76" s="352"/>
      <c r="J76" s="103"/>
      <c r="K76" s="103"/>
      <c r="L76" s="110"/>
      <c r="N76" s="112"/>
    </row>
    <row r="77" spans="1:14" s="134" customFormat="1" ht="48.75" customHeight="1">
      <c r="B77" s="258" t="s">
        <v>131</v>
      </c>
      <c r="C77" s="78" t="s">
        <v>412</v>
      </c>
      <c r="D77" s="84" t="s">
        <v>56</v>
      </c>
      <c r="E77" s="80">
        <v>96111</v>
      </c>
      <c r="F77" s="81">
        <v>150.55000000000001</v>
      </c>
      <c r="G77" s="82">
        <v>38.03</v>
      </c>
      <c r="H77" s="83">
        <f t="shared" ref="H77" si="24">TRUNC(G77*$H$15+G77,2)</f>
        <v>48.53</v>
      </c>
      <c r="I77" s="83">
        <f t="shared" ref="I77" si="25">TRUNC(H77*F77,2)</f>
        <v>7306.19</v>
      </c>
      <c r="J77" s="131">
        <v>0</v>
      </c>
      <c r="K77" s="132" t="e">
        <f>(J77*#REF!)</f>
        <v>#REF!</v>
      </c>
      <c r="L77" s="133"/>
      <c r="N77" s="135"/>
    </row>
    <row r="78" spans="1:14" s="134" customFormat="1" ht="33" customHeight="1">
      <c r="B78" s="258" t="s">
        <v>242</v>
      </c>
      <c r="C78" s="78" t="s">
        <v>413</v>
      </c>
      <c r="D78" s="84" t="s">
        <v>55</v>
      </c>
      <c r="E78" s="80">
        <v>96121</v>
      </c>
      <c r="F78" s="81">
        <v>137.80000000000001</v>
      </c>
      <c r="G78" s="82">
        <v>6.47</v>
      </c>
      <c r="H78" s="83">
        <f t="shared" ref="H78" si="26">TRUNC(G78*$H$15+G78,2)</f>
        <v>8.25</v>
      </c>
      <c r="I78" s="83">
        <f t="shared" ref="I78" si="27">TRUNC(H78*F78,2)</f>
        <v>1136.8499999999999</v>
      </c>
      <c r="J78" s="131">
        <v>0</v>
      </c>
      <c r="K78" s="132" t="e">
        <f>(J78*#REF!)</f>
        <v>#REF!</v>
      </c>
      <c r="L78" s="133"/>
      <c r="N78" s="135"/>
    </row>
    <row r="79" spans="1:14" s="1" customFormat="1" ht="12.75" customHeight="1">
      <c r="B79" s="355" t="s">
        <v>6</v>
      </c>
      <c r="C79" s="356"/>
      <c r="D79" s="356"/>
      <c r="E79" s="356"/>
      <c r="F79" s="356"/>
      <c r="G79" s="353">
        <f>(100%)</f>
        <v>1</v>
      </c>
      <c r="H79" s="354"/>
      <c r="I79" s="259">
        <f>SUM(I77:I78)</f>
        <v>8443.0399999999991</v>
      </c>
      <c r="J79" s="126" t="e">
        <f>(K79/#REF!)</f>
        <v>#REF!</v>
      </c>
      <c r="K79" s="123" t="e">
        <f>SUM(#REF!)</f>
        <v>#REF!</v>
      </c>
      <c r="L79" s="73"/>
      <c r="N79" s="6"/>
    </row>
    <row r="80" spans="1:14">
      <c r="B80" s="257">
        <v>12</v>
      </c>
      <c r="C80" s="62" t="s">
        <v>44</v>
      </c>
      <c r="D80" s="351"/>
      <c r="E80" s="351"/>
      <c r="F80" s="351"/>
      <c r="G80" s="351"/>
      <c r="H80" s="351"/>
      <c r="I80" s="352"/>
      <c r="J80" s="79"/>
      <c r="K80" s="79"/>
      <c r="L80" s="75"/>
    </row>
    <row r="81" spans="2:14" s="111" customFormat="1" ht="42" customHeight="1">
      <c r="B81" s="258" t="s">
        <v>132</v>
      </c>
      <c r="C81" s="78" t="s">
        <v>325</v>
      </c>
      <c r="D81" s="84" t="s">
        <v>59</v>
      </c>
      <c r="E81" s="80">
        <v>94559</v>
      </c>
      <c r="F81" s="81">
        <v>1.04</v>
      </c>
      <c r="G81" s="82">
        <v>451.13</v>
      </c>
      <c r="H81" s="83">
        <f t="shared" ref="H81:H83" si="28">TRUNC(G81*$H$15+G81,2)</f>
        <v>575.77</v>
      </c>
      <c r="I81" s="83">
        <f t="shared" ref="I81:I83" si="29">TRUNC(H81*F81,2)</f>
        <v>598.79999999999995</v>
      </c>
      <c r="J81" s="124">
        <v>0</v>
      </c>
      <c r="K81" s="125" t="e">
        <f>(J81*#REF!)</f>
        <v>#REF!</v>
      </c>
      <c r="L81" s="103"/>
      <c r="N81" s="112"/>
    </row>
    <row r="82" spans="2:14" s="111" customFormat="1" ht="42" customHeight="1">
      <c r="B82" s="258" t="s">
        <v>133</v>
      </c>
      <c r="C82" s="78" t="s">
        <v>324</v>
      </c>
      <c r="D82" s="84" t="s">
        <v>59</v>
      </c>
      <c r="E82" s="80">
        <v>94562</v>
      </c>
      <c r="F82" s="81">
        <v>16</v>
      </c>
      <c r="G82" s="82">
        <v>419.65</v>
      </c>
      <c r="H82" s="83">
        <f t="shared" si="28"/>
        <v>535.59</v>
      </c>
      <c r="I82" s="83">
        <f t="shared" si="29"/>
        <v>8569.44</v>
      </c>
      <c r="J82" s="124">
        <v>0</v>
      </c>
      <c r="K82" s="125" t="e">
        <f>(J82*#REF!)</f>
        <v>#REF!</v>
      </c>
      <c r="L82" s="103"/>
      <c r="N82" s="112"/>
    </row>
    <row r="83" spans="2:14" s="111" customFormat="1" ht="33.75" customHeight="1">
      <c r="B83" s="258" t="s">
        <v>414</v>
      </c>
      <c r="C83" s="78" t="s">
        <v>334</v>
      </c>
      <c r="D83" s="84" t="s">
        <v>59</v>
      </c>
      <c r="E83" s="80">
        <v>72117</v>
      </c>
      <c r="F83" s="81">
        <v>1.04</v>
      </c>
      <c r="G83" s="82">
        <v>116.72</v>
      </c>
      <c r="H83" s="83">
        <f t="shared" si="28"/>
        <v>148.96</v>
      </c>
      <c r="I83" s="83">
        <f t="shared" si="29"/>
        <v>154.91</v>
      </c>
      <c r="J83" s="124">
        <v>0</v>
      </c>
      <c r="K83" s="125" t="e">
        <f>(J83*#REF!)</f>
        <v>#REF!</v>
      </c>
      <c r="L83" s="103"/>
      <c r="N83" s="112"/>
    </row>
    <row r="84" spans="2:14" s="111" customFormat="1" ht="33.75" customHeight="1">
      <c r="B84" s="258" t="s">
        <v>415</v>
      </c>
      <c r="C84" s="78" t="s">
        <v>286</v>
      </c>
      <c r="D84" s="84" t="s">
        <v>59</v>
      </c>
      <c r="E84" s="86" t="s">
        <v>285</v>
      </c>
      <c r="F84" s="81">
        <v>1.6</v>
      </c>
      <c r="G84" s="82">
        <v>351.28</v>
      </c>
      <c r="H84" s="83">
        <f t="shared" ref="H84" si="30">TRUNC(G84*$H$15+G84,2)</f>
        <v>448.33</v>
      </c>
      <c r="I84" s="83">
        <f t="shared" ref="I84" si="31">TRUNC(H84*F84,2)</f>
        <v>717.32</v>
      </c>
      <c r="J84" s="124">
        <v>0</v>
      </c>
      <c r="K84" s="125" t="e">
        <f>(J84*#REF!)</f>
        <v>#REF!</v>
      </c>
      <c r="L84" s="103"/>
      <c r="N84" s="112"/>
    </row>
    <row r="85" spans="2:14" s="134" customFormat="1" ht="32.25" customHeight="1">
      <c r="B85" s="258" t="s">
        <v>416</v>
      </c>
      <c r="C85" s="78" t="s">
        <v>288</v>
      </c>
      <c r="D85" s="84" t="s">
        <v>78</v>
      </c>
      <c r="E85" s="86" t="s">
        <v>287</v>
      </c>
      <c r="F85" s="81">
        <v>1</v>
      </c>
      <c r="G85" s="82">
        <v>73.81</v>
      </c>
      <c r="H85" s="83">
        <f t="shared" ref="H85" si="32">TRUNC(G85*$H$15+G85,2)</f>
        <v>94.2</v>
      </c>
      <c r="I85" s="83">
        <f t="shared" ref="I85" si="33">TRUNC(H85*F85,2)</f>
        <v>94.2</v>
      </c>
      <c r="J85" s="131">
        <v>0</v>
      </c>
      <c r="K85" s="132" t="e">
        <f>(J85*#REF!)</f>
        <v>#REF!</v>
      </c>
      <c r="L85" s="133"/>
      <c r="N85" s="135"/>
    </row>
    <row r="86" spans="2:14" s="111" customFormat="1" ht="41.25" customHeight="1">
      <c r="B86" s="258" t="s">
        <v>417</v>
      </c>
      <c r="C86" s="78" t="s">
        <v>323</v>
      </c>
      <c r="D86" s="84" t="s">
        <v>56</v>
      </c>
      <c r="E86" s="234" t="s">
        <v>322</v>
      </c>
      <c r="F86" s="81">
        <v>20.09</v>
      </c>
      <c r="G86" s="82">
        <v>573.54999999999995</v>
      </c>
      <c r="H86" s="83">
        <f t="shared" ref="H86" si="34">TRUNC(G86*$H$15+G86,2)</f>
        <v>732.02</v>
      </c>
      <c r="I86" s="83">
        <f t="shared" ref="I86" si="35">TRUNC(H86*F86,2)</f>
        <v>14706.28</v>
      </c>
      <c r="J86" s="124">
        <v>0</v>
      </c>
      <c r="K86" s="125" t="e">
        <f>(J86*#REF!)</f>
        <v>#REF!</v>
      </c>
      <c r="L86" s="103"/>
      <c r="N86" s="112"/>
    </row>
    <row r="87" spans="2:14" s="1" customFormat="1" ht="12.75" customHeight="1">
      <c r="B87" s="355" t="s">
        <v>6</v>
      </c>
      <c r="C87" s="356"/>
      <c r="D87" s="356"/>
      <c r="E87" s="356"/>
      <c r="F87" s="356"/>
      <c r="G87" s="353">
        <f>(100%)</f>
        <v>1</v>
      </c>
      <c r="H87" s="354"/>
      <c r="I87" s="259">
        <f>SUM(I81:I86)</f>
        <v>24840.95</v>
      </c>
      <c r="J87" s="122" t="e">
        <f>(K87/#REF!)</f>
        <v>#REF!</v>
      </c>
      <c r="K87" s="123" t="e">
        <f>SUM(K81:K85)</f>
        <v>#REF!</v>
      </c>
      <c r="L87" s="73"/>
      <c r="N87" s="6"/>
    </row>
    <row r="88" spans="2:14" s="111" customFormat="1">
      <c r="B88" s="257">
        <v>13</v>
      </c>
      <c r="C88" s="62" t="s">
        <v>45</v>
      </c>
      <c r="D88" s="255"/>
      <c r="E88" s="255"/>
      <c r="F88" s="255"/>
      <c r="G88" s="255"/>
      <c r="H88" s="255"/>
      <c r="I88" s="260"/>
      <c r="J88" s="103"/>
      <c r="K88" s="103"/>
      <c r="L88" s="110"/>
      <c r="N88" s="112"/>
    </row>
    <row r="89" spans="2:14" s="111" customFormat="1" ht="33.75" customHeight="1">
      <c r="B89" s="258" t="s">
        <v>282</v>
      </c>
      <c r="C89" s="78" t="s">
        <v>57</v>
      </c>
      <c r="D89" s="84" t="s">
        <v>58</v>
      </c>
      <c r="E89" s="80">
        <v>83534</v>
      </c>
      <c r="F89" s="81">
        <v>3.5</v>
      </c>
      <c r="G89" s="82">
        <v>463.77</v>
      </c>
      <c r="H89" s="83">
        <f t="shared" ref="H89" si="36">TRUNC(G89*$H$15+G89,2)</f>
        <v>591.9</v>
      </c>
      <c r="I89" s="83">
        <f t="shared" ref="I89" si="37">TRUNC(H89*F89,2)</f>
        <v>2071.65</v>
      </c>
      <c r="J89" s="124">
        <v>0.8</v>
      </c>
      <c r="K89" s="125" t="e">
        <f>(J89*#REF!)</f>
        <v>#REF!</v>
      </c>
      <c r="L89" s="103"/>
      <c r="N89" s="112"/>
    </row>
    <row r="90" spans="2:14" s="111" customFormat="1" ht="38.25" customHeight="1">
      <c r="B90" s="258" t="s">
        <v>283</v>
      </c>
      <c r="C90" s="78" t="s">
        <v>327</v>
      </c>
      <c r="D90" s="84" t="s">
        <v>56</v>
      </c>
      <c r="E90" s="80">
        <v>98680</v>
      </c>
      <c r="F90" s="81">
        <v>58.27</v>
      </c>
      <c r="G90" s="82">
        <v>29.98</v>
      </c>
      <c r="H90" s="83">
        <f t="shared" ref="H90" si="38">TRUNC(G90*$H$15+G90,2)</f>
        <v>38.26</v>
      </c>
      <c r="I90" s="83">
        <f t="shared" ref="I90" si="39">TRUNC(H90*F90,2)</f>
        <v>2229.41</v>
      </c>
      <c r="J90" s="124">
        <v>0.8</v>
      </c>
      <c r="K90" s="125" t="e">
        <f>(J90*#REF!)</f>
        <v>#REF!</v>
      </c>
      <c r="L90" s="103"/>
      <c r="N90" s="112"/>
    </row>
    <row r="91" spans="2:14" s="1" customFormat="1" ht="12.75" customHeight="1">
      <c r="B91" s="355" t="s">
        <v>6</v>
      </c>
      <c r="C91" s="356"/>
      <c r="D91" s="356"/>
      <c r="E91" s="356"/>
      <c r="F91" s="356"/>
      <c r="G91" s="353">
        <f>(100%)</f>
        <v>1</v>
      </c>
      <c r="H91" s="354"/>
      <c r="I91" s="259">
        <f>SUM(I89:I90)</f>
        <v>4301.0599999999995</v>
      </c>
      <c r="J91" s="122" t="e">
        <f>(K91/#REF!)</f>
        <v>#REF!</v>
      </c>
      <c r="K91" s="123" t="e">
        <f>SUM(K90:K90)</f>
        <v>#REF!</v>
      </c>
      <c r="L91" s="73"/>
      <c r="N91" s="6"/>
    </row>
    <row r="92" spans="2:14" s="111" customFormat="1">
      <c r="B92" s="257">
        <v>14</v>
      </c>
      <c r="C92" s="62" t="s">
        <v>46</v>
      </c>
      <c r="D92" s="351"/>
      <c r="E92" s="351"/>
      <c r="F92" s="351"/>
      <c r="G92" s="351"/>
      <c r="H92" s="351"/>
      <c r="I92" s="352"/>
      <c r="J92" s="103"/>
      <c r="K92" s="103"/>
      <c r="L92" s="110"/>
      <c r="N92" s="112"/>
    </row>
    <row r="93" spans="2:14" s="111" customFormat="1" ht="38.25" customHeight="1">
      <c r="B93" s="258" t="s">
        <v>363</v>
      </c>
      <c r="C93" s="78" t="s">
        <v>289</v>
      </c>
      <c r="D93" s="84" t="s">
        <v>59</v>
      </c>
      <c r="E93" s="80">
        <v>88483</v>
      </c>
      <c r="F93" s="81">
        <v>589.21</v>
      </c>
      <c r="G93" s="82">
        <v>1.92</v>
      </c>
      <c r="H93" s="83">
        <f t="shared" ref="H93:H97" si="40">TRUNC(G93*$H$15+G93,2)</f>
        <v>2.4500000000000002</v>
      </c>
      <c r="I93" s="83">
        <f t="shared" ref="I93:I96" si="41">TRUNC(H93*F93,2)</f>
        <v>1443.56</v>
      </c>
      <c r="J93" s="124">
        <v>0</v>
      </c>
      <c r="K93" s="125" t="e">
        <f>(J93*#REF!)</f>
        <v>#REF!</v>
      </c>
      <c r="L93" s="103"/>
      <c r="N93" s="112"/>
    </row>
    <row r="94" spans="2:14" s="111" customFormat="1" ht="35.25" customHeight="1">
      <c r="B94" s="258" t="s">
        <v>364</v>
      </c>
      <c r="C94" s="78" t="s">
        <v>63</v>
      </c>
      <c r="D94" s="84" t="s">
        <v>59</v>
      </c>
      <c r="E94" s="80">
        <v>88489</v>
      </c>
      <c r="F94" s="81">
        <v>487.9</v>
      </c>
      <c r="G94" s="82">
        <v>9.65</v>
      </c>
      <c r="H94" s="83">
        <f t="shared" si="40"/>
        <v>12.31</v>
      </c>
      <c r="I94" s="83">
        <f t="shared" si="41"/>
        <v>6006.04</v>
      </c>
      <c r="J94" s="124">
        <v>0</v>
      </c>
      <c r="K94" s="125" t="e">
        <f>(J94*#REF!)</f>
        <v>#REF!</v>
      </c>
      <c r="L94" s="103"/>
      <c r="N94" s="112"/>
    </row>
    <row r="95" spans="2:14" s="111" customFormat="1" ht="47.25" customHeight="1">
      <c r="B95" s="258" t="s">
        <v>139</v>
      </c>
      <c r="C95" s="78" t="s">
        <v>337</v>
      </c>
      <c r="D95" s="84" t="s">
        <v>59</v>
      </c>
      <c r="E95" s="234" t="s">
        <v>336</v>
      </c>
      <c r="F95" s="81">
        <v>7.2</v>
      </c>
      <c r="G95" s="82">
        <v>10.050000000000001</v>
      </c>
      <c r="H95" s="83">
        <f t="shared" si="40"/>
        <v>12.82</v>
      </c>
      <c r="I95" s="83">
        <f t="shared" ref="I95" si="42">TRUNC(H95*F95,2)</f>
        <v>92.3</v>
      </c>
      <c r="J95" s="124">
        <v>0</v>
      </c>
      <c r="K95" s="125" t="e">
        <f>(J95*#REF!)</f>
        <v>#REF!</v>
      </c>
      <c r="L95" s="103"/>
      <c r="N95" s="112"/>
    </row>
    <row r="96" spans="2:14" s="111" customFormat="1" ht="35.25" customHeight="1">
      <c r="B96" s="258" t="s">
        <v>140</v>
      </c>
      <c r="C96" s="78" t="s">
        <v>290</v>
      </c>
      <c r="D96" s="84" t="s">
        <v>59</v>
      </c>
      <c r="E96" s="234">
        <v>95468</v>
      </c>
      <c r="F96" s="81">
        <v>77.98</v>
      </c>
      <c r="G96" s="82">
        <v>31.5</v>
      </c>
      <c r="H96" s="83">
        <f t="shared" si="40"/>
        <v>40.200000000000003</v>
      </c>
      <c r="I96" s="83">
        <f t="shared" si="41"/>
        <v>3134.79</v>
      </c>
      <c r="J96" s="124">
        <v>0</v>
      </c>
      <c r="K96" s="125" t="e">
        <f>(J96*#REF!)</f>
        <v>#REF!</v>
      </c>
      <c r="L96" s="103"/>
      <c r="N96" s="112"/>
    </row>
    <row r="97" spans="2:14" s="111" customFormat="1" ht="35.25" customHeight="1">
      <c r="B97" s="258" t="s">
        <v>141</v>
      </c>
      <c r="C97" s="78" t="s">
        <v>343</v>
      </c>
      <c r="D97" s="84" t="s">
        <v>59</v>
      </c>
      <c r="E97" s="234">
        <v>95468</v>
      </c>
      <c r="F97" s="81">
        <v>101.31</v>
      </c>
      <c r="G97" s="82">
        <v>11.28</v>
      </c>
      <c r="H97" s="83">
        <f t="shared" si="40"/>
        <v>14.39</v>
      </c>
      <c r="I97" s="83">
        <f t="shared" ref="I97" si="43">TRUNC(H97*F97,2)</f>
        <v>1457.85</v>
      </c>
      <c r="J97" s="124">
        <v>0</v>
      </c>
      <c r="K97" s="125" t="e">
        <f>(J97*#REF!)</f>
        <v>#REF!</v>
      </c>
      <c r="L97" s="103"/>
      <c r="N97" s="112"/>
    </row>
    <row r="98" spans="2:14" s="1" customFormat="1" ht="12.75" customHeight="1">
      <c r="B98" s="355" t="s">
        <v>6</v>
      </c>
      <c r="C98" s="356"/>
      <c r="D98" s="356"/>
      <c r="E98" s="356"/>
      <c r="F98" s="356"/>
      <c r="G98" s="353">
        <f>(100%)</f>
        <v>1</v>
      </c>
      <c r="H98" s="354"/>
      <c r="I98" s="259">
        <f>SUM(I93:I97)</f>
        <v>12134.54</v>
      </c>
      <c r="J98" s="122" t="e">
        <f>(K98/#REF!)</f>
        <v>#REF!</v>
      </c>
      <c r="K98" s="123" t="e">
        <f>SUM(K94:K94)</f>
        <v>#REF!</v>
      </c>
      <c r="L98" s="73"/>
      <c r="M98" s="87"/>
      <c r="N98" s="6"/>
    </row>
    <row r="99" spans="2:14" s="111" customFormat="1">
      <c r="B99" s="257">
        <v>15</v>
      </c>
      <c r="C99" s="21" t="s">
        <v>48</v>
      </c>
      <c r="D99" s="351"/>
      <c r="E99" s="351"/>
      <c r="F99" s="351"/>
      <c r="G99" s="351"/>
      <c r="H99" s="351"/>
      <c r="I99" s="352"/>
      <c r="J99" s="103"/>
      <c r="K99" s="103"/>
      <c r="L99" s="110"/>
      <c r="N99" s="112"/>
    </row>
    <row r="100" spans="2:14" s="111" customFormat="1" ht="15.75" customHeight="1">
      <c r="B100" s="413" t="s">
        <v>267</v>
      </c>
      <c r="C100" s="416"/>
      <c r="D100" s="244"/>
      <c r="E100" s="245"/>
      <c r="F100" s="246"/>
      <c r="G100" s="247"/>
      <c r="H100" s="248"/>
      <c r="I100" s="261"/>
      <c r="J100" s="124">
        <v>0</v>
      </c>
      <c r="K100" s="125" t="e">
        <f>(J100*#REF!)</f>
        <v>#REF!</v>
      </c>
      <c r="L100" s="103"/>
      <c r="N100" s="112"/>
    </row>
    <row r="101" spans="2:14" s="199" customFormat="1" ht="31.5" customHeight="1">
      <c r="B101" s="258" t="s">
        <v>142</v>
      </c>
      <c r="C101" s="78" t="s">
        <v>195</v>
      </c>
      <c r="D101" s="81" t="s">
        <v>55</v>
      </c>
      <c r="E101" s="234">
        <v>89356</v>
      </c>
      <c r="F101" s="82">
        <v>38.299999999999997</v>
      </c>
      <c r="G101" s="82">
        <v>14.96</v>
      </c>
      <c r="H101" s="83">
        <f t="shared" ref="H101:H111" si="44">TRUNC((G101*$H$15)+G101,2)</f>
        <v>19.09</v>
      </c>
      <c r="I101" s="83">
        <f t="shared" ref="I101:I111" si="45">TRUNC(H101*F101,2)</f>
        <v>731.14</v>
      </c>
      <c r="J101" s="124">
        <v>0</v>
      </c>
      <c r="K101" s="125" t="e">
        <f>(J101*#REF!)</f>
        <v>#REF!</v>
      </c>
      <c r="L101" s="103"/>
    </row>
    <row r="102" spans="2:14" s="111" customFormat="1" ht="32.25" customHeight="1">
      <c r="B102" s="258" t="s">
        <v>143</v>
      </c>
      <c r="C102" s="78" t="s">
        <v>258</v>
      </c>
      <c r="D102" s="81" t="s">
        <v>55</v>
      </c>
      <c r="E102" s="80">
        <v>89357</v>
      </c>
      <c r="F102" s="82">
        <v>0.3</v>
      </c>
      <c r="G102" s="82">
        <v>20.73</v>
      </c>
      <c r="H102" s="83">
        <f t="shared" si="44"/>
        <v>26.45</v>
      </c>
      <c r="I102" s="83">
        <f t="shared" si="45"/>
        <v>7.93</v>
      </c>
      <c r="J102" s="124">
        <v>0</v>
      </c>
      <c r="K102" s="125" t="e">
        <f>(J102*#REF!)</f>
        <v>#REF!</v>
      </c>
      <c r="L102" s="103"/>
      <c r="N102" s="112"/>
    </row>
    <row r="103" spans="2:14" s="111" customFormat="1" ht="31.5" customHeight="1">
      <c r="B103" s="258" t="s">
        <v>380</v>
      </c>
      <c r="C103" s="78" t="s">
        <v>196</v>
      </c>
      <c r="D103" s="81" t="s">
        <v>55</v>
      </c>
      <c r="E103" s="80">
        <v>89449</v>
      </c>
      <c r="F103" s="82">
        <v>15.82</v>
      </c>
      <c r="G103" s="82">
        <v>12.71</v>
      </c>
      <c r="H103" s="83">
        <f t="shared" si="44"/>
        <v>16.22</v>
      </c>
      <c r="I103" s="83">
        <f t="shared" si="45"/>
        <v>256.60000000000002</v>
      </c>
      <c r="J103" s="124">
        <v>0</v>
      </c>
      <c r="K103" s="125" t="e">
        <f>(J103*#REF!)</f>
        <v>#REF!</v>
      </c>
      <c r="L103" s="103"/>
      <c r="N103" s="112"/>
    </row>
    <row r="104" spans="2:14" s="111" customFormat="1" ht="37.5" customHeight="1">
      <c r="B104" s="258" t="s">
        <v>381</v>
      </c>
      <c r="C104" s="78" t="s">
        <v>301</v>
      </c>
      <c r="D104" s="81" t="s">
        <v>55</v>
      </c>
      <c r="E104" s="80">
        <v>89451</v>
      </c>
      <c r="F104" s="82">
        <v>15.35</v>
      </c>
      <c r="G104" s="82">
        <v>27.15</v>
      </c>
      <c r="H104" s="83">
        <f t="shared" ref="H104" si="46">TRUNC((G104*$H$15)+G104,2)</f>
        <v>34.65</v>
      </c>
      <c r="I104" s="83">
        <f t="shared" ref="I104" si="47">TRUNC(H104*F104,2)</f>
        <v>531.87</v>
      </c>
      <c r="J104" s="124">
        <v>0</v>
      </c>
      <c r="K104" s="125" t="e">
        <f>(J104*#REF!)</f>
        <v>#REF!</v>
      </c>
      <c r="L104" s="103"/>
      <c r="N104" s="112"/>
    </row>
    <row r="105" spans="2:14" s="111" customFormat="1" ht="33" customHeight="1">
      <c r="B105" s="258" t="s">
        <v>382</v>
      </c>
      <c r="C105" s="78" t="s">
        <v>197</v>
      </c>
      <c r="D105" s="81" t="s">
        <v>78</v>
      </c>
      <c r="E105" s="80">
        <v>89362</v>
      </c>
      <c r="F105" s="82">
        <v>20</v>
      </c>
      <c r="G105" s="82">
        <v>6.07</v>
      </c>
      <c r="H105" s="83">
        <f t="shared" si="44"/>
        <v>7.74</v>
      </c>
      <c r="I105" s="83">
        <f t="shared" si="45"/>
        <v>154.80000000000001</v>
      </c>
      <c r="J105" s="124">
        <v>0</v>
      </c>
      <c r="K105" s="125" t="e">
        <f>(J105*#REF!)</f>
        <v>#REF!</v>
      </c>
      <c r="L105" s="103"/>
      <c r="N105" s="112"/>
    </row>
    <row r="106" spans="2:14" s="111" customFormat="1" ht="36" customHeight="1">
      <c r="B106" s="258" t="s">
        <v>383</v>
      </c>
      <c r="C106" s="78" t="s">
        <v>198</v>
      </c>
      <c r="D106" s="81" t="s">
        <v>78</v>
      </c>
      <c r="E106" s="80">
        <v>89501</v>
      </c>
      <c r="F106" s="82">
        <v>2</v>
      </c>
      <c r="G106" s="82">
        <v>9.14</v>
      </c>
      <c r="H106" s="83">
        <f t="shared" si="44"/>
        <v>11.66</v>
      </c>
      <c r="I106" s="83">
        <f t="shared" si="45"/>
        <v>23.32</v>
      </c>
      <c r="J106" s="124">
        <v>0</v>
      </c>
      <c r="K106" s="125" t="e">
        <f>(J106*#REF!)</f>
        <v>#REF!</v>
      </c>
      <c r="L106" s="103"/>
      <c r="N106" s="112"/>
    </row>
    <row r="107" spans="2:14" s="111" customFormat="1" ht="42" customHeight="1">
      <c r="B107" s="258" t="s">
        <v>384</v>
      </c>
      <c r="C107" s="78" t="s">
        <v>302</v>
      </c>
      <c r="D107" s="81" t="s">
        <v>78</v>
      </c>
      <c r="E107" s="80">
        <v>89513</v>
      </c>
      <c r="F107" s="82">
        <v>4</v>
      </c>
      <c r="G107" s="82">
        <v>65.17</v>
      </c>
      <c r="H107" s="83">
        <f t="shared" ref="H107" si="48">TRUNC((G107*$H$15)+G107,2)</f>
        <v>83.17</v>
      </c>
      <c r="I107" s="83">
        <f t="shared" ref="I107" si="49">TRUNC(H107*F107,2)</f>
        <v>332.68</v>
      </c>
      <c r="J107" s="124">
        <v>0</v>
      </c>
      <c r="K107" s="125" t="e">
        <f>(J107*#REF!)</f>
        <v>#REF!</v>
      </c>
      <c r="L107" s="103"/>
      <c r="N107" s="112"/>
    </row>
    <row r="108" spans="2:14" s="15" customFormat="1" ht="45" customHeight="1">
      <c r="B108" s="258" t="s">
        <v>385</v>
      </c>
      <c r="C108" s="78" t="s">
        <v>199</v>
      </c>
      <c r="D108" s="81" t="s">
        <v>78</v>
      </c>
      <c r="E108" s="90">
        <v>90373</v>
      </c>
      <c r="F108" s="82">
        <v>12</v>
      </c>
      <c r="G108" s="82">
        <v>9.7200000000000006</v>
      </c>
      <c r="H108" s="83">
        <f t="shared" si="44"/>
        <v>12.4</v>
      </c>
      <c r="I108" s="83">
        <f t="shared" si="45"/>
        <v>148.80000000000001</v>
      </c>
      <c r="J108" s="127"/>
      <c r="K108" s="128"/>
      <c r="L108" s="89"/>
      <c r="N108" s="16"/>
    </row>
    <row r="109" spans="2:14" s="15" customFormat="1" ht="45" customHeight="1">
      <c r="B109" s="258" t="s">
        <v>386</v>
      </c>
      <c r="C109" s="78" t="s">
        <v>317</v>
      </c>
      <c r="D109" s="81" t="s">
        <v>78</v>
      </c>
      <c r="E109" s="90">
        <v>86906</v>
      </c>
      <c r="F109" s="82">
        <v>2</v>
      </c>
      <c r="G109" s="82">
        <v>51.19</v>
      </c>
      <c r="H109" s="83">
        <f t="shared" ref="H109" si="50">TRUNC((G109*$H$15)+G109,2)</f>
        <v>65.33</v>
      </c>
      <c r="I109" s="83">
        <f t="shared" ref="I109" si="51">TRUNC(H109*F109,2)</f>
        <v>130.66</v>
      </c>
      <c r="J109" s="127"/>
      <c r="K109" s="128"/>
      <c r="L109" s="89"/>
      <c r="N109" s="16"/>
    </row>
    <row r="110" spans="2:14" s="15" customFormat="1" ht="45" customHeight="1">
      <c r="B110" s="258" t="s">
        <v>387</v>
      </c>
      <c r="C110" s="78" t="s">
        <v>318</v>
      </c>
      <c r="D110" s="81" t="s">
        <v>78</v>
      </c>
      <c r="E110" s="90">
        <v>86914</v>
      </c>
      <c r="F110" s="82">
        <v>7</v>
      </c>
      <c r="G110" s="82">
        <v>39.18</v>
      </c>
      <c r="H110" s="83">
        <f t="shared" ref="H110" si="52">TRUNC((G110*$H$15)+G110,2)</f>
        <v>50</v>
      </c>
      <c r="I110" s="83">
        <f t="shared" ref="I110" si="53">TRUNC(H110*F110,2)</f>
        <v>350</v>
      </c>
      <c r="J110" s="127"/>
      <c r="K110" s="128"/>
      <c r="L110" s="89"/>
      <c r="N110" s="16"/>
    </row>
    <row r="111" spans="2:14" s="15" customFormat="1" ht="37.5" customHeight="1">
      <c r="B111" s="258" t="s">
        <v>388</v>
      </c>
      <c r="C111" s="78" t="s">
        <v>200</v>
      </c>
      <c r="D111" s="81" t="s">
        <v>78</v>
      </c>
      <c r="E111" s="90">
        <v>89395</v>
      </c>
      <c r="F111" s="82">
        <v>7</v>
      </c>
      <c r="G111" s="82">
        <v>8.43</v>
      </c>
      <c r="H111" s="83">
        <f t="shared" si="44"/>
        <v>10.75</v>
      </c>
      <c r="I111" s="83">
        <f t="shared" si="45"/>
        <v>75.25</v>
      </c>
      <c r="J111" s="127"/>
      <c r="K111" s="128"/>
      <c r="L111" s="89"/>
      <c r="N111" s="16"/>
    </row>
    <row r="112" spans="2:14" s="15" customFormat="1" ht="37.5" customHeight="1">
      <c r="B112" s="258" t="s">
        <v>389</v>
      </c>
      <c r="C112" s="78" t="s">
        <v>303</v>
      </c>
      <c r="D112" s="81" t="s">
        <v>78</v>
      </c>
      <c r="E112" s="90">
        <v>89629</v>
      </c>
      <c r="F112" s="82">
        <v>4</v>
      </c>
      <c r="G112" s="82">
        <v>49.72</v>
      </c>
      <c r="H112" s="83">
        <f t="shared" ref="H112:H113" si="54">TRUNC((G112*$H$15)+G112,2)</f>
        <v>63.45</v>
      </c>
      <c r="I112" s="83">
        <f t="shared" ref="I112:I113" si="55">TRUNC(H112*F112,2)</f>
        <v>253.8</v>
      </c>
      <c r="J112" s="127"/>
      <c r="K112" s="128"/>
      <c r="L112" s="89"/>
      <c r="N112" s="16"/>
    </row>
    <row r="113" spans="2:14" s="15" customFormat="1" ht="41.25" customHeight="1">
      <c r="B113" s="258" t="s">
        <v>390</v>
      </c>
      <c r="C113" s="78" t="s">
        <v>201</v>
      </c>
      <c r="D113" s="81" t="s">
        <v>78</v>
      </c>
      <c r="E113" s="90">
        <v>89627</v>
      </c>
      <c r="F113" s="82">
        <v>1</v>
      </c>
      <c r="G113" s="82">
        <v>13.77</v>
      </c>
      <c r="H113" s="83">
        <f t="shared" si="54"/>
        <v>17.57</v>
      </c>
      <c r="I113" s="83">
        <f t="shared" si="55"/>
        <v>17.57</v>
      </c>
      <c r="J113" s="127"/>
      <c r="K113" s="128"/>
      <c r="L113" s="89"/>
      <c r="N113" s="16"/>
    </row>
    <row r="114" spans="2:14" s="15" customFormat="1" ht="41.25" customHeight="1">
      <c r="B114" s="258" t="s">
        <v>391</v>
      </c>
      <c r="C114" s="78" t="s">
        <v>304</v>
      </c>
      <c r="D114" s="81" t="s">
        <v>78</v>
      </c>
      <c r="E114" s="90">
        <v>89630</v>
      </c>
      <c r="F114" s="82">
        <v>5</v>
      </c>
      <c r="G114" s="82">
        <v>42.98</v>
      </c>
      <c r="H114" s="83">
        <f t="shared" ref="H114:H116" si="56">TRUNC((G114*$H$15)+G114,2)</f>
        <v>54.85</v>
      </c>
      <c r="I114" s="83">
        <f t="shared" ref="I114:I116" si="57">TRUNC(H114*F114,2)</f>
        <v>274.25</v>
      </c>
      <c r="J114" s="127"/>
      <c r="K114" s="128"/>
      <c r="L114" s="89"/>
      <c r="N114" s="16"/>
    </row>
    <row r="115" spans="2:14" s="15" customFormat="1" ht="39.75" customHeight="1">
      <c r="B115" s="258" t="s">
        <v>392</v>
      </c>
      <c r="C115" s="78" t="s">
        <v>346</v>
      </c>
      <c r="D115" s="81" t="s">
        <v>78</v>
      </c>
      <c r="E115" s="90">
        <v>89378</v>
      </c>
      <c r="F115" s="82">
        <v>4</v>
      </c>
      <c r="G115" s="82">
        <v>4.53</v>
      </c>
      <c r="H115" s="83">
        <f t="shared" ref="H115" si="58">TRUNC((G115*$H$15)+G115,2)</f>
        <v>5.78</v>
      </c>
      <c r="I115" s="83">
        <f t="shared" ref="I115" si="59">TRUNC(H115*F115,2)</f>
        <v>23.12</v>
      </c>
      <c r="J115" s="127"/>
      <c r="K115" s="128"/>
      <c r="L115" s="89"/>
      <c r="N115" s="16"/>
    </row>
    <row r="116" spans="2:14" s="15" customFormat="1" ht="39.75" customHeight="1">
      <c r="B116" s="258" t="s">
        <v>393</v>
      </c>
      <c r="C116" s="78" t="s">
        <v>311</v>
      </c>
      <c r="D116" s="81" t="s">
        <v>78</v>
      </c>
      <c r="E116" s="90">
        <v>89575</v>
      </c>
      <c r="F116" s="82">
        <v>1</v>
      </c>
      <c r="G116" s="82">
        <v>7.45</v>
      </c>
      <c r="H116" s="83">
        <f t="shared" si="56"/>
        <v>9.5</v>
      </c>
      <c r="I116" s="83">
        <f t="shared" si="57"/>
        <v>9.5</v>
      </c>
      <c r="J116" s="127"/>
      <c r="K116" s="128"/>
      <c r="L116" s="89"/>
      <c r="N116" s="16"/>
    </row>
    <row r="117" spans="2:14" s="15" customFormat="1" ht="39.75" customHeight="1">
      <c r="B117" s="258" t="s">
        <v>394</v>
      </c>
      <c r="C117" s="78" t="s">
        <v>312</v>
      </c>
      <c r="D117" s="81" t="s">
        <v>78</v>
      </c>
      <c r="E117" s="90">
        <v>89611</v>
      </c>
      <c r="F117" s="82">
        <v>2</v>
      </c>
      <c r="G117" s="82">
        <v>21.1</v>
      </c>
      <c r="H117" s="83">
        <f t="shared" ref="H117:H118" si="60">TRUNC((G117*$H$15)+G117,2)</f>
        <v>26.92</v>
      </c>
      <c r="I117" s="83">
        <f t="shared" ref="I117:I118" si="61">TRUNC(H117*F117,2)</f>
        <v>53.84</v>
      </c>
      <c r="J117" s="127"/>
      <c r="K117" s="128"/>
      <c r="L117" s="89"/>
      <c r="N117" s="16"/>
    </row>
    <row r="118" spans="2:14" s="15" customFormat="1" ht="63.75" customHeight="1">
      <c r="B118" s="258" t="s">
        <v>395</v>
      </c>
      <c r="C118" s="78" t="s">
        <v>316</v>
      </c>
      <c r="D118" s="81" t="s">
        <v>78</v>
      </c>
      <c r="E118" s="90">
        <v>89385</v>
      </c>
      <c r="F118" s="82">
        <v>2</v>
      </c>
      <c r="G118" s="82">
        <v>5.0199999999999996</v>
      </c>
      <c r="H118" s="83">
        <f t="shared" si="60"/>
        <v>6.4</v>
      </c>
      <c r="I118" s="83">
        <f t="shared" si="61"/>
        <v>12.8</v>
      </c>
      <c r="J118" s="127"/>
      <c r="K118" s="128"/>
      <c r="L118" s="89"/>
      <c r="N118" s="16"/>
    </row>
    <row r="119" spans="2:14" s="111" customFormat="1" ht="55.5" customHeight="1">
      <c r="B119" s="258" t="s">
        <v>396</v>
      </c>
      <c r="C119" s="78" t="s">
        <v>274</v>
      </c>
      <c r="D119" s="84" t="s">
        <v>78</v>
      </c>
      <c r="E119" s="80">
        <v>89383</v>
      </c>
      <c r="F119" s="81">
        <v>12</v>
      </c>
      <c r="G119" s="82">
        <v>4.75</v>
      </c>
      <c r="H119" s="83">
        <f t="shared" ref="H119:H130" si="62">TRUNC(G119*$H$15+G119,2)</f>
        <v>6.06</v>
      </c>
      <c r="I119" s="83">
        <f t="shared" ref="I119:I164" si="63">TRUNC(H119*F119,2)</f>
        <v>72.72</v>
      </c>
      <c r="J119" s="124">
        <v>0</v>
      </c>
      <c r="K119" s="125" t="e">
        <f>(J119*#REF!)</f>
        <v>#REF!</v>
      </c>
      <c r="L119" s="103"/>
      <c r="N119" s="112"/>
    </row>
    <row r="120" spans="2:14" s="111" customFormat="1" ht="55.5" customHeight="1">
      <c r="B120" s="258" t="s">
        <v>397</v>
      </c>
      <c r="C120" s="78" t="s">
        <v>275</v>
      </c>
      <c r="D120" s="84" t="s">
        <v>78</v>
      </c>
      <c r="E120" s="80">
        <v>89596</v>
      </c>
      <c r="F120" s="81">
        <v>9</v>
      </c>
      <c r="G120" s="82">
        <v>7.74</v>
      </c>
      <c r="H120" s="83">
        <f t="shared" ref="H120:H121" si="64">TRUNC(G120*$H$15+G120,2)</f>
        <v>9.8699999999999992</v>
      </c>
      <c r="I120" s="83">
        <f t="shared" ref="I120:I121" si="65">TRUNC(H120*F120,2)</f>
        <v>88.83</v>
      </c>
      <c r="J120" s="124">
        <v>0</v>
      </c>
      <c r="K120" s="125" t="e">
        <f>(J120*#REF!)</f>
        <v>#REF!</v>
      </c>
      <c r="L120" s="103"/>
      <c r="N120" s="112"/>
    </row>
    <row r="121" spans="2:14" s="111" customFormat="1" ht="55.5" customHeight="1">
      <c r="B121" s="258" t="s">
        <v>418</v>
      </c>
      <c r="C121" s="78" t="s">
        <v>315</v>
      </c>
      <c r="D121" s="84" t="s">
        <v>78</v>
      </c>
      <c r="E121" s="80">
        <v>89613</v>
      </c>
      <c r="F121" s="81">
        <v>6</v>
      </c>
      <c r="G121" s="82">
        <v>23.37</v>
      </c>
      <c r="H121" s="83">
        <f t="shared" si="64"/>
        <v>29.82</v>
      </c>
      <c r="I121" s="83">
        <f t="shared" si="65"/>
        <v>178.92</v>
      </c>
      <c r="J121" s="124">
        <v>0</v>
      </c>
      <c r="K121" s="125" t="e">
        <f>(J121*#REF!)</f>
        <v>#REF!</v>
      </c>
      <c r="L121" s="103"/>
      <c r="N121" s="112"/>
    </row>
    <row r="122" spans="2:14" s="111" customFormat="1" ht="55.5" customHeight="1">
      <c r="B122" s="258" t="s">
        <v>419</v>
      </c>
      <c r="C122" s="78" t="s">
        <v>347</v>
      </c>
      <c r="D122" s="84" t="s">
        <v>78</v>
      </c>
      <c r="E122" s="80">
        <v>94713</v>
      </c>
      <c r="F122" s="81">
        <v>1</v>
      </c>
      <c r="G122" s="82">
        <v>159.97999999999999</v>
      </c>
      <c r="H122" s="83">
        <f t="shared" ref="H122" si="66">TRUNC(G122*$H$15+G122,2)</f>
        <v>204.18</v>
      </c>
      <c r="I122" s="83">
        <f t="shared" ref="I122" si="67">TRUNC(H122*F122,2)</f>
        <v>204.18</v>
      </c>
      <c r="J122" s="124">
        <v>0</v>
      </c>
      <c r="K122" s="125" t="e">
        <f>(J122*#REF!)</f>
        <v>#REF!</v>
      </c>
      <c r="L122" s="103"/>
      <c r="N122" s="112"/>
    </row>
    <row r="123" spans="2:14" s="111" customFormat="1" ht="21" customHeight="1">
      <c r="B123" s="258" t="s">
        <v>420</v>
      </c>
      <c r="C123" s="78" t="s">
        <v>79</v>
      </c>
      <c r="D123" s="84" t="s">
        <v>78</v>
      </c>
      <c r="E123" s="80">
        <v>88503</v>
      </c>
      <c r="F123" s="81">
        <v>1</v>
      </c>
      <c r="G123" s="82">
        <v>639.88</v>
      </c>
      <c r="H123" s="83">
        <f t="shared" si="62"/>
        <v>816.67</v>
      </c>
      <c r="I123" s="83">
        <f t="shared" si="63"/>
        <v>816.67</v>
      </c>
      <c r="J123" s="124">
        <v>0</v>
      </c>
      <c r="K123" s="125" t="e">
        <f>(J123*#REF!)</f>
        <v>#REF!</v>
      </c>
      <c r="L123" s="103"/>
      <c r="N123" s="112"/>
    </row>
    <row r="124" spans="2:14" s="111" customFormat="1" ht="40.5" customHeight="1">
      <c r="B124" s="258" t="s">
        <v>421</v>
      </c>
      <c r="C124" s="78" t="s">
        <v>272</v>
      </c>
      <c r="D124" s="84" t="s">
        <v>78</v>
      </c>
      <c r="E124" s="234" t="s">
        <v>271</v>
      </c>
      <c r="F124" s="81">
        <v>5</v>
      </c>
      <c r="G124" s="82">
        <v>11.35</v>
      </c>
      <c r="H124" s="83">
        <f t="shared" ref="H124:H127" si="68">TRUNC(G124*$H$15+G124,2)</f>
        <v>14.48</v>
      </c>
      <c r="I124" s="83">
        <f t="shared" ref="I124:I127" si="69">TRUNC(H124*F124,2)</f>
        <v>72.400000000000006</v>
      </c>
      <c r="J124" s="124">
        <v>0</v>
      </c>
      <c r="K124" s="125" t="e">
        <f>(J124*#REF!)</f>
        <v>#REF!</v>
      </c>
      <c r="L124" s="103"/>
      <c r="N124" s="112"/>
    </row>
    <row r="125" spans="2:14" s="111" customFormat="1" ht="40.5" customHeight="1">
      <c r="B125" s="258" t="s">
        <v>422</v>
      </c>
      <c r="C125" s="78" t="s">
        <v>313</v>
      </c>
      <c r="D125" s="84" t="s">
        <v>78</v>
      </c>
      <c r="E125" s="234" t="s">
        <v>314</v>
      </c>
      <c r="F125" s="81">
        <v>5</v>
      </c>
      <c r="G125" s="82">
        <v>21.09</v>
      </c>
      <c r="H125" s="83">
        <f t="shared" ref="H125" si="70">TRUNC(G125*$H$15+G125,2)</f>
        <v>26.91</v>
      </c>
      <c r="I125" s="83">
        <f t="shared" ref="I125" si="71">TRUNC(H125*F125,2)</f>
        <v>134.55000000000001</v>
      </c>
      <c r="J125" s="124">
        <v>0</v>
      </c>
      <c r="K125" s="125" t="e">
        <f>(J125*#REF!)</f>
        <v>#REF!</v>
      </c>
      <c r="L125" s="103"/>
      <c r="N125" s="112"/>
    </row>
    <row r="126" spans="2:14" s="111" customFormat="1" ht="52.5" customHeight="1">
      <c r="B126" s="258" t="s">
        <v>423</v>
      </c>
      <c r="C126" s="78" t="s">
        <v>320</v>
      </c>
      <c r="D126" s="84" t="s">
        <v>78</v>
      </c>
      <c r="E126" s="234">
        <v>94489</v>
      </c>
      <c r="F126" s="81">
        <v>2</v>
      </c>
      <c r="G126" s="82">
        <v>20.2</v>
      </c>
      <c r="H126" s="83">
        <f t="shared" ref="H126" si="72">TRUNC(G126*$H$15+G126,2)</f>
        <v>25.78</v>
      </c>
      <c r="I126" s="83">
        <f t="shared" ref="I126" si="73">TRUNC(H126*F126,2)</f>
        <v>51.56</v>
      </c>
      <c r="J126" s="124">
        <v>0</v>
      </c>
      <c r="K126" s="125" t="e">
        <f>(J126*#REF!)</f>
        <v>#REF!</v>
      </c>
      <c r="L126" s="103"/>
      <c r="N126" s="112"/>
    </row>
    <row r="127" spans="2:14" s="111" customFormat="1" ht="52.5" customHeight="1">
      <c r="B127" s="258" t="s">
        <v>424</v>
      </c>
      <c r="C127" s="78" t="s">
        <v>319</v>
      </c>
      <c r="D127" s="84" t="s">
        <v>78</v>
      </c>
      <c r="E127" s="234">
        <v>94499</v>
      </c>
      <c r="F127" s="81">
        <v>3</v>
      </c>
      <c r="G127" s="82">
        <v>104.31</v>
      </c>
      <c r="H127" s="83">
        <f t="shared" si="68"/>
        <v>133.13</v>
      </c>
      <c r="I127" s="83">
        <f t="shared" si="69"/>
        <v>399.39</v>
      </c>
      <c r="J127" s="124">
        <v>0</v>
      </c>
      <c r="K127" s="125" t="e">
        <f>(J127*#REF!)</f>
        <v>#REF!</v>
      </c>
      <c r="L127" s="103"/>
      <c r="N127" s="112"/>
    </row>
    <row r="128" spans="2:14" s="111" customFormat="1" ht="52.5" customHeight="1">
      <c r="B128" s="258" t="s">
        <v>425</v>
      </c>
      <c r="C128" s="78" t="s">
        <v>270</v>
      </c>
      <c r="D128" s="84" t="s">
        <v>78</v>
      </c>
      <c r="E128" s="234">
        <v>889987</v>
      </c>
      <c r="F128" s="81">
        <v>3</v>
      </c>
      <c r="G128" s="82">
        <v>32.92</v>
      </c>
      <c r="H128" s="83">
        <f t="shared" ref="H128" si="74">TRUNC(G128*$H$15+G128,2)</f>
        <v>42.01</v>
      </c>
      <c r="I128" s="83">
        <f t="shared" ref="I128" si="75">TRUNC(H128*F128,2)</f>
        <v>126.03</v>
      </c>
      <c r="J128" s="124">
        <v>0</v>
      </c>
      <c r="K128" s="125" t="e">
        <f>(J128*#REF!)</f>
        <v>#REF!</v>
      </c>
      <c r="L128" s="103"/>
      <c r="N128" s="112"/>
    </row>
    <row r="129" spans="2:14" s="111" customFormat="1" ht="52.5" customHeight="1">
      <c r="B129" s="258" t="s">
        <v>426</v>
      </c>
      <c r="C129" s="78" t="s">
        <v>326</v>
      </c>
      <c r="D129" s="84" t="s">
        <v>78</v>
      </c>
      <c r="E129" s="234">
        <v>89985</v>
      </c>
      <c r="F129" s="81">
        <v>2</v>
      </c>
      <c r="G129" s="82">
        <v>31.54</v>
      </c>
      <c r="H129" s="83">
        <f t="shared" ref="H129" si="76">TRUNC(G129*$H$15+G129,2)</f>
        <v>40.25</v>
      </c>
      <c r="I129" s="83">
        <f t="shared" ref="I129" si="77">TRUNC(H129*F129,2)</f>
        <v>80.5</v>
      </c>
      <c r="J129" s="124">
        <v>0</v>
      </c>
      <c r="K129" s="125" t="e">
        <f>(J129*#REF!)</f>
        <v>#REF!</v>
      </c>
      <c r="L129" s="103"/>
      <c r="N129" s="112"/>
    </row>
    <row r="130" spans="2:14" s="111" customFormat="1" ht="62.25" customHeight="1">
      <c r="B130" s="258" t="s">
        <v>427</v>
      </c>
      <c r="C130" s="78" t="s">
        <v>269</v>
      </c>
      <c r="D130" s="84" t="s">
        <v>78</v>
      </c>
      <c r="E130" s="234">
        <v>94794</v>
      </c>
      <c r="F130" s="81">
        <v>2</v>
      </c>
      <c r="G130" s="82">
        <v>68.39</v>
      </c>
      <c r="H130" s="83">
        <f t="shared" si="62"/>
        <v>87.28</v>
      </c>
      <c r="I130" s="83">
        <f t="shared" si="63"/>
        <v>174.56</v>
      </c>
      <c r="J130" s="124">
        <v>0</v>
      </c>
      <c r="K130" s="125" t="e">
        <f>(J130*#REF!)</f>
        <v>#REF!</v>
      </c>
      <c r="L130" s="103"/>
      <c r="N130" s="112"/>
    </row>
    <row r="131" spans="2:14" s="111" customFormat="1" ht="42" customHeight="1">
      <c r="B131" s="258" t="s">
        <v>428</v>
      </c>
      <c r="C131" s="78" t="s">
        <v>321</v>
      </c>
      <c r="D131" s="84" t="s">
        <v>78</v>
      </c>
      <c r="E131" s="234">
        <v>9535</v>
      </c>
      <c r="F131" s="81">
        <v>2</v>
      </c>
      <c r="G131" s="82">
        <v>67.97</v>
      </c>
      <c r="H131" s="83">
        <f t="shared" ref="H131" si="78">TRUNC(G131*$H$15+G131,2)</f>
        <v>86.75</v>
      </c>
      <c r="I131" s="83">
        <f t="shared" ref="I131" si="79">TRUNC(H131*F131,2)</f>
        <v>173.5</v>
      </c>
      <c r="J131" s="124">
        <v>0</v>
      </c>
      <c r="K131" s="125" t="e">
        <f>(J131*#REF!)</f>
        <v>#REF!</v>
      </c>
      <c r="L131" s="103"/>
      <c r="N131" s="112"/>
    </row>
    <row r="132" spans="2:14" s="111" customFormat="1" ht="72" customHeight="1">
      <c r="B132" s="258" t="s">
        <v>429</v>
      </c>
      <c r="C132" s="78" t="s">
        <v>259</v>
      </c>
      <c r="D132" s="81" t="s">
        <v>78</v>
      </c>
      <c r="E132" s="80">
        <v>93441</v>
      </c>
      <c r="F132" s="82">
        <v>1</v>
      </c>
      <c r="G132" s="82">
        <v>858.68</v>
      </c>
      <c r="H132" s="83">
        <f t="shared" ref="H132" si="80">TRUNC((G132*$H$15)+G132,2)</f>
        <v>1095.93</v>
      </c>
      <c r="I132" s="83">
        <f t="shared" si="63"/>
        <v>1095.93</v>
      </c>
      <c r="J132" s="124">
        <v>0</v>
      </c>
      <c r="K132" s="125" t="e">
        <f>(J132*#REF!)</f>
        <v>#REF!</v>
      </c>
      <c r="L132" s="103"/>
      <c r="N132" s="112"/>
    </row>
    <row r="133" spans="2:14" ht="18.75" customHeight="1">
      <c r="B133" s="413" t="s">
        <v>47</v>
      </c>
      <c r="C133" s="414"/>
      <c r="D133" s="84"/>
      <c r="E133" s="80"/>
      <c r="F133" s="81"/>
      <c r="G133" s="82"/>
      <c r="H133" s="83"/>
      <c r="I133" s="83"/>
      <c r="J133" s="120">
        <v>0</v>
      </c>
      <c r="K133" s="121" t="e">
        <f>(J133*#REF!)</f>
        <v>#REF!</v>
      </c>
      <c r="L133" s="72"/>
    </row>
    <row r="134" spans="2:14" s="111" customFormat="1" ht="46.5" customHeight="1">
      <c r="B134" s="258" t="s">
        <v>430</v>
      </c>
      <c r="C134" s="78" t="s">
        <v>260</v>
      </c>
      <c r="D134" s="84" t="s">
        <v>55</v>
      </c>
      <c r="E134" s="80">
        <v>89849</v>
      </c>
      <c r="F134" s="82">
        <v>5</v>
      </c>
      <c r="G134" s="82">
        <v>34.35</v>
      </c>
      <c r="H134" s="83">
        <f t="shared" ref="H134" si="81">TRUNC(G134*$H$15+G134,2)</f>
        <v>43.84</v>
      </c>
      <c r="I134" s="83">
        <f t="shared" ref="I134" si="82">TRUNC(H134*F134,2)</f>
        <v>219.2</v>
      </c>
      <c r="J134" s="124">
        <v>1</v>
      </c>
      <c r="K134" s="125" t="e">
        <f>(J134*#REF!)</f>
        <v>#REF!</v>
      </c>
      <c r="L134" s="103"/>
      <c r="N134" s="112"/>
    </row>
    <row r="135" spans="2:14" s="111" customFormat="1" ht="46.5" customHeight="1">
      <c r="B135" s="258" t="s">
        <v>431</v>
      </c>
      <c r="C135" s="78" t="s">
        <v>95</v>
      </c>
      <c r="D135" s="84" t="s">
        <v>55</v>
      </c>
      <c r="E135" s="80">
        <v>89714</v>
      </c>
      <c r="F135" s="82">
        <v>38.659999999999997</v>
      </c>
      <c r="G135" s="82">
        <v>36.83</v>
      </c>
      <c r="H135" s="83">
        <f t="shared" ref="H135:H142" si="83">TRUNC(G135*$H$15+G135,2)</f>
        <v>47</v>
      </c>
      <c r="I135" s="83">
        <f t="shared" si="63"/>
        <v>1817.02</v>
      </c>
      <c r="J135" s="124">
        <v>1</v>
      </c>
      <c r="K135" s="125" t="e">
        <f>(J135*#REF!)</f>
        <v>#REF!</v>
      </c>
      <c r="L135" s="103"/>
      <c r="N135" s="112"/>
    </row>
    <row r="136" spans="2:14" s="111" customFormat="1" ht="48" customHeight="1">
      <c r="B136" s="258" t="s">
        <v>432</v>
      </c>
      <c r="C136" s="78" t="s">
        <v>80</v>
      </c>
      <c r="D136" s="84" t="s">
        <v>55</v>
      </c>
      <c r="E136" s="80">
        <v>89712</v>
      </c>
      <c r="F136" s="82">
        <v>13.3</v>
      </c>
      <c r="G136" s="82">
        <v>19.059999999999999</v>
      </c>
      <c r="H136" s="83">
        <f t="shared" si="83"/>
        <v>24.32</v>
      </c>
      <c r="I136" s="83">
        <f t="shared" si="63"/>
        <v>323.45</v>
      </c>
      <c r="J136" s="124">
        <v>1</v>
      </c>
      <c r="K136" s="125" t="e">
        <f>(J136*#REF!)</f>
        <v>#REF!</v>
      </c>
      <c r="L136" s="103"/>
      <c r="N136" s="112"/>
    </row>
    <row r="137" spans="2:14" s="111" customFormat="1" ht="47.25" customHeight="1">
      <c r="B137" s="258" t="s">
        <v>433</v>
      </c>
      <c r="C137" s="78" t="s">
        <v>96</v>
      </c>
      <c r="D137" s="84" t="s">
        <v>55</v>
      </c>
      <c r="E137" s="80">
        <v>89711</v>
      </c>
      <c r="F137" s="82">
        <v>13.85</v>
      </c>
      <c r="G137" s="82">
        <v>12.93</v>
      </c>
      <c r="H137" s="83">
        <f t="shared" si="83"/>
        <v>16.5</v>
      </c>
      <c r="I137" s="83">
        <f t="shared" si="63"/>
        <v>228.52</v>
      </c>
      <c r="J137" s="124">
        <v>1</v>
      </c>
      <c r="K137" s="125" t="e">
        <f>(J137*#REF!)</f>
        <v>#REF!</v>
      </c>
      <c r="L137" s="103"/>
      <c r="N137" s="112"/>
    </row>
    <row r="138" spans="2:14" s="111" customFormat="1" ht="47.25" customHeight="1">
      <c r="B138" s="258" t="s">
        <v>434</v>
      </c>
      <c r="C138" s="78" t="s">
        <v>97</v>
      </c>
      <c r="D138" s="84" t="s">
        <v>78</v>
      </c>
      <c r="E138" s="80">
        <v>89728</v>
      </c>
      <c r="F138" s="82">
        <v>5</v>
      </c>
      <c r="G138" s="82">
        <v>7.27</v>
      </c>
      <c r="H138" s="83">
        <f t="shared" si="83"/>
        <v>9.27</v>
      </c>
      <c r="I138" s="83">
        <f t="shared" si="63"/>
        <v>46.35</v>
      </c>
      <c r="J138" s="124">
        <v>1</v>
      </c>
      <c r="K138" s="125" t="e">
        <f>(J138*#REF!)</f>
        <v>#REF!</v>
      </c>
      <c r="L138" s="103"/>
      <c r="N138" s="112"/>
    </row>
    <row r="139" spans="2:14" s="111" customFormat="1" ht="58.5" customHeight="1">
      <c r="B139" s="258" t="s">
        <v>435</v>
      </c>
      <c r="C139" s="78" t="s">
        <v>261</v>
      </c>
      <c r="D139" s="84" t="s">
        <v>78</v>
      </c>
      <c r="E139" s="80">
        <v>89744</v>
      </c>
      <c r="F139" s="82">
        <v>6</v>
      </c>
      <c r="G139" s="82">
        <v>16.2</v>
      </c>
      <c r="H139" s="83">
        <f t="shared" ref="H139" si="84">TRUNC(G139*$H$15+G139,2)</f>
        <v>20.67</v>
      </c>
      <c r="I139" s="83">
        <f t="shared" ref="I139" si="85">TRUNC(H139*F139,2)</f>
        <v>124.02</v>
      </c>
      <c r="J139" s="124">
        <v>1</v>
      </c>
      <c r="K139" s="125" t="e">
        <f>(J139*#REF!)</f>
        <v>#REF!</v>
      </c>
      <c r="L139" s="103"/>
      <c r="N139" s="112"/>
    </row>
    <row r="140" spans="2:14" s="111" customFormat="1" ht="55.5" customHeight="1">
      <c r="B140" s="258" t="s">
        <v>436</v>
      </c>
      <c r="C140" s="78" t="s">
        <v>310</v>
      </c>
      <c r="D140" s="84" t="s">
        <v>78</v>
      </c>
      <c r="E140" s="80">
        <v>89724</v>
      </c>
      <c r="F140" s="82">
        <v>4</v>
      </c>
      <c r="G140" s="82">
        <v>5.43</v>
      </c>
      <c r="H140" s="83">
        <f t="shared" ref="H140:H141" si="86">TRUNC(G140*$H$15+G140,2)</f>
        <v>6.93</v>
      </c>
      <c r="I140" s="83">
        <f t="shared" ref="I140:I141" si="87">TRUNC(H140*F140,2)</f>
        <v>27.72</v>
      </c>
      <c r="J140" s="124">
        <v>1</v>
      </c>
      <c r="K140" s="125" t="e">
        <f>(J140*#REF!)</f>
        <v>#REF!</v>
      </c>
      <c r="L140" s="103"/>
      <c r="N140" s="112"/>
    </row>
    <row r="141" spans="2:14" s="111" customFormat="1" ht="49.5" customHeight="1">
      <c r="B141" s="258" t="s">
        <v>437</v>
      </c>
      <c r="C141" s="78" t="s">
        <v>263</v>
      </c>
      <c r="D141" s="84" t="s">
        <v>78</v>
      </c>
      <c r="E141" s="80">
        <v>89746</v>
      </c>
      <c r="F141" s="82">
        <v>1</v>
      </c>
      <c r="G141" s="82">
        <v>16.260000000000002</v>
      </c>
      <c r="H141" s="83">
        <f t="shared" si="86"/>
        <v>20.75</v>
      </c>
      <c r="I141" s="83">
        <f t="shared" si="87"/>
        <v>20.75</v>
      </c>
      <c r="J141" s="124">
        <v>1</v>
      </c>
      <c r="K141" s="125" t="e">
        <f>(J141*#REF!)</f>
        <v>#REF!</v>
      </c>
      <c r="L141" s="103"/>
      <c r="N141" s="112"/>
    </row>
    <row r="142" spans="2:14" s="111" customFormat="1" ht="44.25" customHeight="1">
      <c r="B142" s="258" t="s">
        <v>438</v>
      </c>
      <c r="C142" s="78" t="s">
        <v>98</v>
      </c>
      <c r="D142" s="84" t="s">
        <v>78</v>
      </c>
      <c r="E142" s="80">
        <v>89726</v>
      </c>
      <c r="F142" s="82">
        <v>1</v>
      </c>
      <c r="G142" s="82">
        <v>6.14</v>
      </c>
      <c r="H142" s="83">
        <f t="shared" si="83"/>
        <v>7.83</v>
      </c>
      <c r="I142" s="83">
        <f t="shared" si="63"/>
        <v>7.83</v>
      </c>
      <c r="J142" s="124">
        <v>1</v>
      </c>
      <c r="K142" s="125" t="e">
        <f>(J142*#REF!)</f>
        <v>#REF!</v>
      </c>
      <c r="L142" s="103"/>
      <c r="N142" s="112"/>
    </row>
    <row r="143" spans="2:14" s="111" customFormat="1" ht="48.75" customHeight="1">
      <c r="B143" s="258" t="s">
        <v>439</v>
      </c>
      <c r="C143" s="78" t="s">
        <v>262</v>
      </c>
      <c r="D143" s="84" t="s">
        <v>78</v>
      </c>
      <c r="E143" s="80">
        <v>89732</v>
      </c>
      <c r="F143" s="82">
        <v>2</v>
      </c>
      <c r="G143" s="82">
        <v>7.68</v>
      </c>
      <c r="H143" s="83">
        <f t="shared" ref="H143" si="88">TRUNC(G143*$H$15+G143,2)</f>
        <v>9.8000000000000007</v>
      </c>
      <c r="I143" s="83">
        <f t="shared" ref="I143" si="89">TRUNC(H143*F143,2)</f>
        <v>19.600000000000001</v>
      </c>
      <c r="J143" s="124">
        <v>1</v>
      </c>
      <c r="K143" s="125" t="e">
        <f>(J143*#REF!)</f>
        <v>#REF!</v>
      </c>
      <c r="L143" s="103"/>
      <c r="N143" s="112"/>
    </row>
    <row r="144" spans="2:14" s="111" customFormat="1" ht="66.75" customHeight="1">
      <c r="B144" s="258" t="s">
        <v>440</v>
      </c>
      <c r="C144" s="78" t="s">
        <v>348</v>
      </c>
      <c r="D144" s="84" t="s">
        <v>78</v>
      </c>
      <c r="E144" s="80">
        <v>89546</v>
      </c>
      <c r="F144" s="82">
        <v>2</v>
      </c>
      <c r="G144" s="82">
        <v>5.81</v>
      </c>
      <c r="H144" s="83">
        <f t="shared" ref="H144" si="90">TRUNC(G144*$H$15+G144,2)</f>
        <v>7.41</v>
      </c>
      <c r="I144" s="83">
        <f t="shared" ref="I144" si="91">TRUNC(H144*F144,2)</f>
        <v>14.82</v>
      </c>
      <c r="J144" s="124">
        <v>1</v>
      </c>
      <c r="K144" s="125" t="e">
        <f>(J144*#REF!)</f>
        <v>#REF!</v>
      </c>
      <c r="L144" s="103"/>
      <c r="N144" s="112"/>
    </row>
    <row r="145" spans="2:14" s="111" customFormat="1" ht="54" customHeight="1">
      <c r="B145" s="258" t="s">
        <v>441</v>
      </c>
      <c r="C145" s="78" t="s">
        <v>266</v>
      </c>
      <c r="D145" s="84" t="s">
        <v>78</v>
      </c>
      <c r="E145" s="80">
        <v>89785</v>
      </c>
      <c r="F145" s="82">
        <v>4</v>
      </c>
      <c r="G145" s="82">
        <v>13.66</v>
      </c>
      <c r="H145" s="83">
        <f t="shared" ref="H145" si="92">TRUNC(G145*$H$15+G145,2)</f>
        <v>17.43</v>
      </c>
      <c r="I145" s="83">
        <f t="shared" ref="I145" si="93">TRUNC(H145*F145,2)</f>
        <v>69.72</v>
      </c>
      <c r="J145" s="124">
        <v>1</v>
      </c>
      <c r="K145" s="125" t="e">
        <f>(J145*#REF!)</f>
        <v>#REF!</v>
      </c>
      <c r="L145" s="103"/>
      <c r="N145" s="112"/>
    </row>
    <row r="146" spans="2:14" s="111" customFormat="1" ht="47.25" customHeight="1">
      <c r="B146" s="258" t="s">
        <v>442</v>
      </c>
      <c r="C146" s="78" t="s">
        <v>305</v>
      </c>
      <c r="D146" s="84" t="s">
        <v>78</v>
      </c>
      <c r="E146" s="234">
        <v>89709</v>
      </c>
      <c r="F146" s="82">
        <v>3</v>
      </c>
      <c r="G146" s="82">
        <v>7.88</v>
      </c>
      <c r="H146" s="83">
        <f t="shared" ref="H146:H148" si="94">TRUNC(G146*$H$15+G146,2)</f>
        <v>10.050000000000001</v>
      </c>
      <c r="I146" s="83">
        <f t="shared" ref="I146:I148" si="95">TRUNC(H146*F146,2)</f>
        <v>30.15</v>
      </c>
      <c r="J146" s="124">
        <v>1</v>
      </c>
      <c r="K146" s="125" t="e">
        <f>(J146*#REF!)</f>
        <v>#REF!</v>
      </c>
      <c r="L146" s="103"/>
      <c r="N146" s="112"/>
    </row>
    <row r="147" spans="2:14" s="111" customFormat="1" ht="47.25" customHeight="1">
      <c r="B147" s="258" t="s">
        <v>443</v>
      </c>
      <c r="C147" s="78" t="s">
        <v>349</v>
      </c>
      <c r="D147" s="84" t="s">
        <v>78</v>
      </c>
      <c r="E147" s="234">
        <v>89482</v>
      </c>
      <c r="F147" s="82">
        <v>1</v>
      </c>
      <c r="G147" s="82">
        <v>17.170000000000002</v>
      </c>
      <c r="H147" s="83">
        <f t="shared" ref="H147" si="96">TRUNC(G147*$H$15+G147,2)</f>
        <v>21.91</v>
      </c>
      <c r="I147" s="83">
        <f t="shared" ref="I147" si="97">TRUNC(H147*F147,2)</f>
        <v>21.91</v>
      </c>
      <c r="J147" s="124">
        <v>1</v>
      </c>
      <c r="K147" s="125" t="e">
        <f>(J147*#REF!)</f>
        <v>#REF!</v>
      </c>
      <c r="L147" s="103"/>
      <c r="N147" s="112"/>
    </row>
    <row r="148" spans="2:14" s="111" customFormat="1" ht="47.25" customHeight="1">
      <c r="B148" s="258" t="s">
        <v>444</v>
      </c>
      <c r="C148" s="78" t="s">
        <v>264</v>
      </c>
      <c r="D148" s="84" t="s">
        <v>78</v>
      </c>
      <c r="E148" s="234" t="s">
        <v>265</v>
      </c>
      <c r="F148" s="82">
        <v>2</v>
      </c>
      <c r="G148" s="82">
        <v>54.47</v>
      </c>
      <c r="H148" s="83">
        <f t="shared" si="94"/>
        <v>69.52</v>
      </c>
      <c r="I148" s="83">
        <f t="shared" si="95"/>
        <v>139.04</v>
      </c>
      <c r="J148" s="124">
        <v>1</v>
      </c>
      <c r="K148" s="125" t="e">
        <f>(J148*#REF!)</f>
        <v>#REF!</v>
      </c>
      <c r="L148" s="103"/>
      <c r="N148" s="112"/>
    </row>
    <row r="149" spans="2:14" s="111" customFormat="1" ht="36" customHeight="1">
      <c r="B149" s="258" t="s">
        <v>445</v>
      </c>
      <c r="C149" s="78" t="s">
        <v>273</v>
      </c>
      <c r="D149" s="84" t="s">
        <v>78</v>
      </c>
      <c r="E149" s="80">
        <v>40729</v>
      </c>
      <c r="F149" s="81">
        <v>5</v>
      </c>
      <c r="G149" s="82">
        <v>176.45</v>
      </c>
      <c r="H149" s="83">
        <f t="shared" ref="H149" si="98">TRUNC(G149*$H$15+G149,2)</f>
        <v>225.2</v>
      </c>
      <c r="I149" s="83">
        <f t="shared" ref="I149:I158" si="99">TRUNC(H149*F149,2)</f>
        <v>1126</v>
      </c>
      <c r="J149" s="124">
        <v>0</v>
      </c>
      <c r="K149" s="125" t="e">
        <f>(J149*#REF!)</f>
        <v>#REF!</v>
      </c>
      <c r="L149" s="103"/>
      <c r="N149" s="112"/>
    </row>
    <row r="150" spans="2:14" s="111" customFormat="1" ht="23.25" customHeight="1">
      <c r="B150" s="258" t="s">
        <v>446</v>
      </c>
      <c r="C150" s="78" t="s">
        <v>306</v>
      </c>
      <c r="D150" s="81" t="s">
        <v>78</v>
      </c>
      <c r="E150" s="298" t="s">
        <v>307</v>
      </c>
      <c r="F150" s="82">
        <v>4</v>
      </c>
      <c r="G150" s="82">
        <v>504.78</v>
      </c>
      <c r="H150" s="83">
        <f t="shared" ref="H150:H158" si="100">TRUNC((G150*$H$15)+G150,2)</f>
        <v>644.25</v>
      </c>
      <c r="I150" s="83">
        <f t="shared" si="99"/>
        <v>2577</v>
      </c>
      <c r="J150" s="124">
        <v>0</v>
      </c>
      <c r="K150" s="125" t="e">
        <f>(J150*#REF!)</f>
        <v>#REF!</v>
      </c>
      <c r="L150" s="103"/>
      <c r="N150" s="112"/>
    </row>
    <row r="151" spans="2:14" s="134" customFormat="1" ht="53.25" customHeight="1">
      <c r="B151" s="258" t="s">
        <v>447</v>
      </c>
      <c r="C151" s="78" t="s">
        <v>247</v>
      </c>
      <c r="D151" s="81" t="s">
        <v>78</v>
      </c>
      <c r="E151" s="80">
        <v>95472</v>
      </c>
      <c r="F151" s="82">
        <v>1</v>
      </c>
      <c r="G151" s="82">
        <v>602.69000000000005</v>
      </c>
      <c r="H151" s="83">
        <f t="shared" si="100"/>
        <v>769.21</v>
      </c>
      <c r="I151" s="83">
        <f t="shared" si="99"/>
        <v>769.21</v>
      </c>
      <c r="J151" s="131">
        <v>0</v>
      </c>
      <c r="K151" s="132" t="e">
        <f>(J151*#REF!)</f>
        <v>#REF!</v>
      </c>
      <c r="L151" s="133"/>
      <c r="N151" s="135"/>
    </row>
    <row r="152" spans="2:14" s="134" customFormat="1" ht="33.75" customHeight="1">
      <c r="B152" s="258" t="s">
        <v>448</v>
      </c>
      <c r="C152" s="78" t="s">
        <v>248</v>
      </c>
      <c r="D152" s="81" t="s">
        <v>78</v>
      </c>
      <c r="E152" s="90" t="s">
        <v>233</v>
      </c>
      <c r="F152" s="82">
        <v>1</v>
      </c>
      <c r="G152" s="82">
        <v>180.02</v>
      </c>
      <c r="H152" s="83">
        <f t="shared" si="100"/>
        <v>229.75</v>
      </c>
      <c r="I152" s="83">
        <f t="shared" si="99"/>
        <v>229.75</v>
      </c>
      <c r="J152" s="131">
        <v>0</v>
      </c>
      <c r="K152" s="132" t="e">
        <f>(J152*#REF!)</f>
        <v>#REF!</v>
      </c>
      <c r="L152" s="133"/>
      <c r="N152" s="135"/>
    </row>
    <row r="153" spans="2:14" s="134" customFormat="1" ht="33.75" customHeight="1">
      <c r="B153" s="258" t="s">
        <v>449</v>
      </c>
      <c r="C153" s="78" t="s">
        <v>252</v>
      </c>
      <c r="D153" s="81" t="s">
        <v>78</v>
      </c>
      <c r="E153" s="90" t="s">
        <v>244</v>
      </c>
      <c r="F153" s="82">
        <v>1</v>
      </c>
      <c r="G153" s="82">
        <v>212.21</v>
      </c>
      <c r="H153" s="83">
        <f t="shared" si="100"/>
        <v>270.83999999999997</v>
      </c>
      <c r="I153" s="83">
        <f t="shared" si="99"/>
        <v>270.83999999999997</v>
      </c>
      <c r="J153" s="131">
        <v>0</v>
      </c>
      <c r="K153" s="132" t="e">
        <f>(J153*#REF!)</f>
        <v>#REF!</v>
      </c>
      <c r="L153" s="133"/>
      <c r="N153" s="135"/>
    </row>
    <row r="154" spans="2:14" s="111" customFormat="1" ht="51" customHeight="1">
      <c r="B154" s="258" t="s">
        <v>450</v>
      </c>
      <c r="C154" s="85" t="s">
        <v>309</v>
      </c>
      <c r="D154" s="81" t="s">
        <v>78</v>
      </c>
      <c r="E154" s="80">
        <v>86937</v>
      </c>
      <c r="F154" s="82">
        <v>2</v>
      </c>
      <c r="G154" s="82">
        <v>138.75</v>
      </c>
      <c r="H154" s="83">
        <f t="shared" si="100"/>
        <v>177.08</v>
      </c>
      <c r="I154" s="83">
        <f t="shared" si="99"/>
        <v>354.16</v>
      </c>
      <c r="J154" s="124">
        <v>0</v>
      </c>
      <c r="K154" s="125" t="e">
        <f>(J154*#REF!)</f>
        <v>#REF!</v>
      </c>
      <c r="L154" s="103"/>
      <c r="N154" s="112"/>
    </row>
    <row r="155" spans="2:14" s="111" customFormat="1" ht="61.5" customHeight="1">
      <c r="B155" s="258" t="s">
        <v>451</v>
      </c>
      <c r="C155" s="78" t="s">
        <v>256</v>
      </c>
      <c r="D155" s="81" t="s">
        <v>78</v>
      </c>
      <c r="E155" s="80">
        <v>93396</v>
      </c>
      <c r="F155" s="82">
        <v>1</v>
      </c>
      <c r="G155" s="82">
        <v>499.45</v>
      </c>
      <c r="H155" s="83">
        <f t="shared" si="100"/>
        <v>637.44000000000005</v>
      </c>
      <c r="I155" s="83">
        <f t="shared" si="99"/>
        <v>637.44000000000005</v>
      </c>
      <c r="J155" s="124">
        <v>0</v>
      </c>
      <c r="K155" s="125" t="e">
        <f>(J155*#REF!)</f>
        <v>#REF!</v>
      </c>
      <c r="L155" s="103"/>
      <c r="N155" s="112"/>
    </row>
    <row r="156" spans="2:14" s="111" customFormat="1" ht="57" customHeight="1">
      <c r="B156" s="258" t="s">
        <v>452</v>
      </c>
      <c r="C156" s="78" t="s">
        <v>257</v>
      </c>
      <c r="D156" s="81" t="s">
        <v>78</v>
      </c>
      <c r="E156" s="80">
        <v>86919</v>
      </c>
      <c r="F156" s="82">
        <v>1</v>
      </c>
      <c r="G156" s="82">
        <v>646.72</v>
      </c>
      <c r="H156" s="83">
        <f t="shared" si="100"/>
        <v>825.4</v>
      </c>
      <c r="I156" s="83">
        <f t="shared" si="99"/>
        <v>825.4</v>
      </c>
      <c r="J156" s="124">
        <v>0</v>
      </c>
      <c r="K156" s="125" t="e">
        <f>(J156*#REF!)</f>
        <v>#REF!</v>
      </c>
      <c r="L156" s="103"/>
      <c r="N156" s="112"/>
    </row>
    <row r="157" spans="2:14" s="111" customFormat="1" ht="36" customHeight="1">
      <c r="B157" s="258" t="s">
        <v>453</v>
      </c>
      <c r="C157" s="78" t="s">
        <v>308</v>
      </c>
      <c r="D157" s="81" t="s">
        <v>78</v>
      </c>
      <c r="E157" s="80">
        <v>95545</v>
      </c>
      <c r="F157" s="82">
        <v>2</v>
      </c>
      <c r="G157" s="82">
        <v>45.1</v>
      </c>
      <c r="H157" s="83">
        <f t="shared" ref="H157" si="101">TRUNC((G157*$H$15)+G157,2)</f>
        <v>57.56</v>
      </c>
      <c r="I157" s="83">
        <f t="shared" ref="I157" si="102">TRUNC(H157*F157,2)</f>
        <v>115.12</v>
      </c>
      <c r="J157" s="124">
        <v>0</v>
      </c>
      <c r="K157" s="125" t="e">
        <f>(J157*#REF!)</f>
        <v>#REF!</v>
      </c>
      <c r="L157" s="103"/>
      <c r="N157" s="112"/>
    </row>
    <row r="158" spans="2:14" s="111" customFormat="1" ht="45" customHeight="1">
      <c r="B158" s="258" t="s">
        <v>454</v>
      </c>
      <c r="C158" s="78" t="s">
        <v>202</v>
      </c>
      <c r="D158" s="81" t="s">
        <v>78</v>
      </c>
      <c r="E158" s="80">
        <v>95547</v>
      </c>
      <c r="F158" s="82">
        <v>3</v>
      </c>
      <c r="G158" s="82">
        <v>56.02</v>
      </c>
      <c r="H158" s="83">
        <f t="shared" si="100"/>
        <v>71.489999999999995</v>
      </c>
      <c r="I158" s="83">
        <f t="shared" si="99"/>
        <v>214.47</v>
      </c>
      <c r="J158" s="124">
        <v>0</v>
      </c>
      <c r="K158" s="125" t="e">
        <f>(J158*#REF!)</f>
        <v>#REF!</v>
      </c>
      <c r="L158" s="103"/>
      <c r="N158" s="112"/>
    </row>
    <row r="159" spans="2:14" s="111" customFormat="1" ht="36" customHeight="1">
      <c r="B159" s="258" t="s">
        <v>455</v>
      </c>
      <c r="C159" s="78" t="s">
        <v>277</v>
      </c>
      <c r="D159" s="81" t="s">
        <v>78</v>
      </c>
      <c r="E159" s="80">
        <v>95544</v>
      </c>
      <c r="F159" s="82">
        <v>5</v>
      </c>
      <c r="G159" s="82">
        <v>46.18</v>
      </c>
      <c r="H159" s="83">
        <f t="shared" ref="H159" si="103">TRUNC((G159*$H$15)+G159,2)</f>
        <v>58.93</v>
      </c>
      <c r="I159" s="83">
        <f t="shared" ref="I159" si="104">TRUNC(H159*F159,2)</f>
        <v>294.64999999999998</v>
      </c>
      <c r="J159" s="124">
        <v>0</v>
      </c>
      <c r="K159" s="125" t="e">
        <f>(J159*#REF!)</f>
        <v>#REF!</v>
      </c>
      <c r="L159" s="103"/>
      <c r="N159" s="112"/>
    </row>
    <row r="160" spans="2:14" s="111" customFormat="1" ht="36" customHeight="1">
      <c r="B160" s="258" t="s">
        <v>456</v>
      </c>
      <c r="C160" s="78" t="s">
        <v>278</v>
      </c>
      <c r="D160" s="81" t="s">
        <v>78</v>
      </c>
      <c r="E160" s="80">
        <v>95542</v>
      </c>
      <c r="F160" s="82">
        <v>3</v>
      </c>
      <c r="G160" s="82">
        <v>36.03</v>
      </c>
      <c r="H160" s="83">
        <f t="shared" ref="H160" si="105">TRUNC((G160*$H$15)+G160,2)</f>
        <v>45.98</v>
      </c>
      <c r="I160" s="83">
        <f t="shared" ref="I160" si="106">TRUNC(H160*F160,2)</f>
        <v>137.94</v>
      </c>
      <c r="J160" s="124">
        <v>0</v>
      </c>
      <c r="K160" s="125" t="e">
        <f>(J160*#REF!)</f>
        <v>#REF!</v>
      </c>
      <c r="L160" s="103"/>
      <c r="N160" s="112"/>
    </row>
    <row r="161" spans="2:14" s="111" customFormat="1" ht="42" customHeight="1">
      <c r="B161" s="258" t="s">
        <v>457</v>
      </c>
      <c r="C161" s="78" t="s">
        <v>148</v>
      </c>
      <c r="D161" s="81" t="s">
        <v>78</v>
      </c>
      <c r="E161" s="90" t="s">
        <v>147</v>
      </c>
      <c r="F161" s="82">
        <v>7</v>
      </c>
      <c r="G161" s="82">
        <v>167.1</v>
      </c>
      <c r="H161" s="83">
        <f t="shared" ref="H161:H164" si="107">TRUNC((G161*$H$15)+G161,2)</f>
        <v>213.26</v>
      </c>
      <c r="I161" s="83">
        <f t="shared" si="63"/>
        <v>1492.82</v>
      </c>
      <c r="J161" s="124">
        <v>0</v>
      </c>
      <c r="K161" s="125" t="e">
        <f>(J161*#REF!)</f>
        <v>#REF!</v>
      </c>
      <c r="L161" s="103"/>
      <c r="N161" s="112"/>
    </row>
    <row r="162" spans="2:14" s="111" customFormat="1" ht="51" customHeight="1">
      <c r="B162" s="258" t="s">
        <v>458</v>
      </c>
      <c r="C162" s="78" t="s">
        <v>203</v>
      </c>
      <c r="D162" s="81" t="s">
        <v>78</v>
      </c>
      <c r="E162" s="80">
        <v>98053</v>
      </c>
      <c r="F162" s="82">
        <v>1</v>
      </c>
      <c r="G162" s="82">
        <v>1401.1</v>
      </c>
      <c r="H162" s="83">
        <f t="shared" si="107"/>
        <v>1788.22</v>
      </c>
      <c r="I162" s="83">
        <f t="shared" si="63"/>
        <v>1788.22</v>
      </c>
      <c r="J162" s="124"/>
      <c r="K162" s="125"/>
      <c r="L162" s="103"/>
      <c r="N162" s="112"/>
    </row>
    <row r="163" spans="2:14" s="111" customFormat="1" ht="51" customHeight="1">
      <c r="B163" s="258" t="s">
        <v>459</v>
      </c>
      <c r="C163" s="78" t="s">
        <v>276</v>
      </c>
      <c r="D163" s="81" t="s">
        <v>78</v>
      </c>
      <c r="E163" s="80">
        <v>98089</v>
      </c>
      <c r="F163" s="82">
        <v>1</v>
      </c>
      <c r="G163" s="82">
        <v>3544.85</v>
      </c>
      <c r="H163" s="83">
        <f t="shared" si="107"/>
        <v>4524.29</v>
      </c>
      <c r="I163" s="83">
        <f t="shared" si="63"/>
        <v>4524.29</v>
      </c>
      <c r="J163" s="124"/>
      <c r="K163" s="125"/>
      <c r="L163" s="103"/>
      <c r="N163" s="112"/>
    </row>
    <row r="164" spans="2:14" s="111" customFormat="1" ht="48.75" customHeight="1">
      <c r="B164" s="258" t="s">
        <v>460</v>
      </c>
      <c r="C164" s="78" t="s">
        <v>204</v>
      </c>
      <c r="D164" s="81" t="s">
        <v>78</v>
      </c>
      <c r="E164" s="234">
        <v>98080</v>
      </c>
      <c r="F164" s="82">
        <v>1</v>
      </c>
      <c r="G164" s="82">
        <v>6431.66</v>
      </c>
      <c r="H164" s="83">
        <f t="shared" si="107"/>
        <v>8208.7199999999993</v>
      </c>
      <c r="I164" s="83">
        <f t="shared" si="63"/>
        <v>8208.7199999999993</v>
      </c>
      <c r="J164" s="124">
        <v>0</v>
      </c>
      <c r="K164" s="125" t="e">
        <f>(J164*#REF!)</f>
        <v>#REF!</v>
      </c>
      <c r="L164" s="103"/>
      <c r="N164" s="112"/>
    </row>
    <row r="165" spans="2:14" s="1" customFormat="1" ht="12.75" customHeight="1">
      <c r="B165" s="355" t="s">
        <v>6</v>
      </c>
      <c r="C165" s="356"/>
      <c r="D165" s="356"/>
      <c r="E165" s="356"/>
      <c r="F165" s="415"/>
      <c r="G165" s="353">
        <f>(100%)</f>
        <v>1</v>
      </c>
      <c r="H165" s="354"/>
      <c r="I165" s="259">
        <f>SUM(I101:I164)</f>
        <v>33733.800000000003</v>
      </c>
      <c r="J165" s="122" t="e">
        <f>(K165/#REF!)</f>
        <v>#REF!</v>
      </c>
      <c r="K165" s="123" t="e">
        <f>SUM(K123:K164)</f>
        <v>#REF!</v>
      </c>
      <c r="L165" s="73"/>
      <c r="N165" s="6"/>
    </row>
    <row r="166" spans="2:14" s="111" customFormat="1" ht="16.5" customHeight="1">
      <c r="B166" s="257">
        <v>16</v>
      </c>
      <c r="C166" s="21" t="s">
        <v>52</v>
      </c>
      <c r="D166" s="351"/>
      <c r="E166" s="351"/>
      <c r="F166" s="351"/>
      <c r="G166" s="351"/>
      <c r="H166" s="351"/>
      <c r="I166" s="352"/>
      <c r="J166" s="103"/>
      <c r="K166" s="103"/>
      <c r="L166" s="110"/>
      <c r="N166" s="112"/>
    </row>
    <row r="167" spans="2:14" s="111" customFormat="1" ht="51" customHeight="1">
      <c r="B167" s="258" t="s">
        <v>284</v>
      </c>
      <c r="C167" s="78" t="s">
        <v>281</v>
      </c>
      <c r="D167" s="84" t="s">
        <v>78</v>
      </c>
      <c r="E167" s="80">
        <v>97888</v>
      </c>
      <c r="F167" s="81">
        <v>2</v>
      </c>
      <c r="G167" s="82">
        <v>347.45</v>
      </c>
      <c r="H167" s="83">
        <f>TRUNC((G167*$H$15)+G167,2)</f>
        <v>443.45</v>
      </c>
      <c r="I167" s="83">
        <f>TRUNC(H167*F167,2)</f>
        <v>886.9</v>
      </c>
      <c r="J167" s="124">
        <v>0</v>
      </c>
      <c r="K167" s="125" t="e">
        <f>(J167*#REF!)</f>
        <v>#REF!</v>
      </c>
      <c r="L167" s="103"/>
      <c r="N167" s="112"/>
    </row>
    <row r="168" spans="2:14" s="111" customFormat="1" ht="38.25">
      <c r="B168" s="258" t="s">
        <v>461</v>
      </c>
      <c r="C168" s="78" t="s">
        <v>134</v>
      </c>
      <c r="D168" s="84" t="s">
        <v>55</v>
      </c>
      <c r="E168" s="80">
        <v>91927</v>
      </c>
      <c r="F168" s="81">
        <v>59.9</v>
      </c>
      <c r="G168" s="82">
        <v>3.13</v>
      </c>
      <c r="H168" s="83">
        <f>TRUNC((G168*$H$15)+G168,2)</f>
        <v>3.99</v>
      </c>
      <c r="I168" s="83">
        <f>TRUNC(H168*F168,2)</f>
        <v>239</v>
      </c>
      <c r="J168" s="124">
        <v>0</v>
      </c>
      <c r="K168" s="125" t="e">
        <f>(J168*#REF!)</f>
        <v>#REF!</v>
      </c>
      <c r="L168" s="103"/>
      <c r="N168" s="112"/>
    </row>
    <row r="169" spans="2:14" s="111" customFormat="1" ht="48" customHeight="1">
      <c r="B169" s="258" t="s">
        <v>462</v>
      </c>
      <c r="C169" s="78" t="s">
        <v>353</v>
      </c>
      <c r="D169" s="84" t="s">
        <v>55</v>
      </c>
      <c r="E169" s="80">
        <v>91931</v>
      </c>
      <c r="F169" s="81">
        <v>56.85</v>
      </c>
      <c r="G169" s="82">
        <v>5.88</v>
      </c>
      <c r="H169" s="83">
        <f t="shared" ref="H169" si="108">TRUNC((G169*$H$15)+G169,2)</f>
        <v>7.5</v>
      </c>
      <c r="I169" s="83">
        <f t="shared" ref="I169" si="109">TRUNC(H169*F169,2)</f>
        <v>426.37</v>
      </c>
      <c r="J169" s="124"/>
      <c r="K169" s="125"/>
      <c r="L169" s="103"/>
      <c r="N169" s="112"/>
    </row>
    <row r="170" spans="2:14" s="111" customFormat="1" ht="48" customHeight="1">
      <c r="B170" s="258" t="s">
        <v>463</v>
      </c>
      <c r="C170" s="78" t="s">
        <v>332</v>
      </c>
      <c r="D170" s="84" t="s">
        <v>55</v>
      </c>
      <c r="E170" s="80">
        <v>91933</v>
      </c>
      <c r="F170" s="81">
        <v>82.8</v>
      </c>
      <c r="G170" s="82">
        <v>9.1999999999999993</v>
      </c>
      <c r="H170" s="83">
        <f t="shared" ref="H170" si="110">TRUNC((G170*$H$15)+G170,2)</f>
        <v>11.74</v>
      </c>
      <c r="I170" s="83">
        <f t="shared" ref="I170" si="111">TRUNC(H170*F170,2)</f>
        <v>972.07</v>
      </c>
      <c r="J170" s="124"/>
      <c r="K170" s="125"/>
      <c r="L170" s="103"/>
      <c r="N170" s="112"/>
    </row>
    <row r="171" spans="2:14" s="111" customFormat="1" ht="42" customHeight="1">
      <c r="B171" s="258" t="s">
        <v>464</v>
      </c>
      <c r="C171" s="78" t="s">
        <v>350</v>
      </c>
      <c r="D171" s="84" t="s">
        <v>78</v>
      </c>
      <c r="E171" s="80">
        <v>91937</v>
      </c>
      <c r="F171" s="81">
        <v>6</v>
      </c>
      <c r="G171" s="82">
        <v>7.54</v>
      </c>
      <c r="H171" s="83">
        <f t="shared" ref="H171:H186" si="112">TRUNC((G171*$H$15)+G171,2)</f>
        <v>9.6199999999999992</v>
      </c>
      <c r="I171" s="83">
        <f t="shared" ref="I171:I186" si="113">TRUNC(H171*F171,2)</f>
        <v>57.72</v>
      </c>
      <c r="J171" s="124">
        <v>0</v>
      </c>
      <c r="K171" s="125" t="e">
        <f>(J171*#REF!)</f>
        <v>#REF!</v>
      </c>
      <c r="L171" s="103"/>
      <c r="N171" s="112"/>
    </row>
    <row r="172" spans="2:14" s="111" customFormat="1" ht="33.75" customHeight="1">
      <c r="B172" s="258" t="s">
        <v>465</v>
      </c>
      <c r="C172" s="78" t="s">
        <v>91</v>
      </c>
      <c r="D172" s="84" t="s">
        <v>78</v>
      </c>
      <c r="E172" s="80">
        <v>91940</v>
      </c>
      <c r="F172" s="81">
        <v>5</v>
      </c>
      <c r="G172" s="82">
        <v>9.94</v>
      </c>
      <c r="H172" s="83">
        <f t="shared" si="112"/>
        <v>12.68</v>
      </c>
      <c r="I172" s="83">
        <f t="shared" si="113"/>
        <v>63.4</v>
      </c>
      <c r="J172" s="124">
        <v>0</v>
      </c>
      <c r="K172" s="125" t="e">
        <f>(J172*#REF!)</f>
        <v>#REF!</v>
      </c>
      <c r="L172" s="103"/>
      <c r="N172" s="112"/>
    </row>
    <row r="173" spans="2:14" s="111" customFormat="1" ht="51" customHeight="1">
      <c r="B173" s="258" t="s">
        <v>466</v>
      </c>
      <c r="C173" s="78" t="s">
        <v>352</v>
      </c>
      <c r="D173" s="84" t="s">
        <v>78</v>
      </c>
      <c r="E173" s="80">
        <v>91939</v>
      </c>
      <c r="F173" s="81">
        <v>2</v>
      </c>
      <c r="G173" s="82">
        <v>18.66</v>
      </c>
      <c r="H173" s="83">
        <f t="shared" si="112"/>
        <v>23.81</v>
      </c>
      <c r="I173" s="83">
        <f t="shared" si="113"/>
        <v>47.62</v>
      </c>
      <c r="J173" s="124">
        <v>0</v>
      </c>
      <c r="K173" s="125" t="e">
        <f>(J173*#REF!)</f>
        <v>#REF!</v>
      </c>
      <c r="L173" s="103"/>
      <c r="N173" s="112"/>
    </row>
    <row r="174" spans="2:14" s="111" customFormat="1" ht="50.25" customHeight="1">
      <c r="B174" s="258" t="s">
        <v>467</v>
      </c>
      <c r="C174" s="78" t="s">
        <v>351</v>
      </c>
      <c r="D174" s="84" t="s">
        <v>78</v>
      </c>
      <c r="E174" s="80">
        <v>91993</v>
      </c>
      <c r="F174" s="81">
        <v>2</v>
      </c>
      <c r="G174" s="82">
        <v>26.43</v>
      </c>
      <c r="H174" s="83">
        <f t="shared" ref="H174" si="114">TRUNC((G174*$H$15)+G174,2)</f>
        <v>33.729999999999997</v>
      </c>
      <c r="I174" s="83">
        <f t="shared" ref="I174" si="115">TRUNC(H174*F174,2)</f>
        <v>67.459999999999994</v>
      </c>
      <c r="J174" s="124">
        <v>0</v>
      </c>
      <c r="K174" s="125" t="e">
        <f>(J174*#REF!)</f>
        <v>#REF!</v>
      </c>
      <c r="L174" s="103"/>
      <c r="N174" s="112"/>
    </row>
    <row r="175" spans="2:14" s="111" customFormat="1" ht="50.25" customHeight="1">
      <c r="B175" s="258" t="s">
        <v>468</v>
      </c>
      <c r="C175" s="78" t="s">
        <v>354</v>
      </c>
      <c r="D175" s="84" t="s">
        <v>78</v>
      </c>
      <c r="E175" s="80">
        <v>92000</v>
      </c>
      <c r="F175" s="81">
        <v>1</v>
      </c>
      <c r="G175" s="82">
        <v>26.43</v>
      </c>
      <c r="H175" s="83">
        <f t="shared" ref="H175" si="116">TRUNC((G175*$H$15)+G175,2)</f>
        <v>33.729999999999997</v>
      </c>
      <c r="I175" s="83">
        <f t="shared" ref="I175" si="117">TRUNC(H175*F175,2)</f>
        <v>33.729999999999997</v>
      </c>
      <c r="J175" s="124">
        <v>0</v>
      </c>
      <c r="K175" s="125" t="e">
        <f>(J175*#REF!)</f>
        <v>#REF!</v>
      </c>
      <c r="L175" s="103"/>
      <c r="N175" s="112"/>
    </row>
    <row r="176" spans="2:14" s="111" customFormat="1" ht="45" customHeight="1">
      <c r="B176" s="258" t="s">
        <v>469</v>
      </c>
      <c r="C176" s="78" t="s">
        <v>92</v>
      </c>
      <c r="D176" s="84" t="s">
        <v>78</v>
      </c>
      <c r="E176" s="80">
        <v>91959</v>
      </c>
      <c r="F176" s="81">
        <v>4</v>
      </c>
      <c r="G176" s="82">
        <v>25.19</v>
      </c>
      <c r="H176" s="83">
        <f t="shared" si="112"/>
        <v>32.14</v>
      </c>
      <c r="I176" s="83">
        <f t="shared" si="113"/>
        <v>128.56</v>
      </c>
      <c r="J176" s="124">
        <v>0</v>
      </c>
      <c r="K176" s="125" t="e">
        <f>(J176*#REF!)</f>
        <v>#REF!</v>
      </c>
      <c r="L176" s="103"/>
      <c r="N176" s="112"/>
    </row>
    <row r="177" spans="2:14" s="111" customFormat="1" ht="36.75" customHeight="1">
      <c r="B177" s="258" t="s">
        <v>470</v>
      </c>
      <c r="C177" s="78" t="s">
        <v>279</v>
      </c>
      <c r="D177" s="84" t="s">
        <v>78</v>
      </c>
      <c r="E177" s="80">
        <v>93653</v>
      </c>
      <c r="F177" s="81">
        <v>3</v>
      </c>
      <c r="G177" s="82">
        <v>8.24</v>
      </c>
      <c r="H177" s="83">
        <f t="shared" ref="H177" si="118">TRUNC((G177*$H$15)+G177,2)</f>
        <v>10.51</v>
      </c>
      <c r="I177" s="83">
        <f t="shared" ref="I177" si="119">TRUNC(H177*F177,2)</f>
        <v>31.53</v>
      </c>
      <c r="J177" s="124">
        <v>0</v>
      </c>
      <c r="K177" s="125" t="e">
        <f>(J177*#REF!)</f>
        <v>#REF!</v>
      </c>
      <c r="L177" s="103"/>
      <c r="N177" s="112"/>
    </row>
    <row r="178" spans="2:14" s="111" customFormat="1" ht="45.75" customHeight="1">
      <c r="B178" s="258" t="s">
        <v>471</v>
      </c>
      <c r="C178" s="78" t="s">
        <v>356</v>
      </c>
      <c r="D178" s="84" t="s">
        <v>78</v>
      </c>
      <c r="E178" s="80">
        <v>93659</v>
      </c>
      <c r="F178" s="81">
        <v>2</v>
      </c>
      <c r="G178" s="82">
        <v>16.86</v>
      </c>
      <c r="H178" s="83">
        <f t="shared" ref="H178" si="120">TRUNC((G178*$H$15)+G178,2)</f>
        <v>21.51</v>
      </c>
      <c r="I178" s="83">
        <f t="shared" ref="I178" si="121">TRUNC(H178*F178,2)</f>
        <v>43.02</v>
      </c>
      <c r="J178" s="124">
        <v>0</v>
      </c>
      <c r="K178" s="125" t="e">
        <f>(J178*#REF!)</f>
        <v>#REF!</v>
      </c>
      <c r="L178" s="103"/>
      <c r="N178" s="112"/>
    </row>
    <row r="179" spans="2:14" s="111" customFormat="1" ht="45.75" customHeight="1">
      <c r="B179" s="258" t="s">
        <v>472</v>
      </c>
      <c r="C179" s="78" t="s">
        <v>365</v>
      </c>
      <c r="D179" s="84" t="s">
        <v>78</v>
      </c>
      <c r="E179" s="80">
        <v>93666</v>
      </c>
      <c r="F179" s="81">
        <v>1</v>
      </c>
      <c r="G179" s="82">
        <v>51.42</v>
      </c>
      <c r="H179" s="83">
        <f t="shared" ref="H179" si="122">TRUNC((G179*$H$15)+G179,2)</f>
        <v>65.62</v>
      </c>
      <c r="I179" s="83">
        <f t="shared" ref="I179" si="123">TRUNC(H179*F179,2)</f>
        <v>65.62</v>
      </c>
      <c r="J179" s="124">
        <v>0</v>
      </c>
      <c r="K179" s="125" t="e">
        <f>(J179*#REF!)</f>
        <v>#REF!</v>
      </c>
      <c r="L179" s="103"/>
      <c r="N179" s="112"/>
    </row>
    <row r="180" spans="2:14" s="15" customFormat="1" ht="25.5">
      <c r="B180" s="258" t="s">
        <v>473</v>
      </c>
      <c r="C180" s="78" t="s">
        <v>135</v>
      </c>
      <c r="D180" s="84" t="s">
        <v>78</v>
      </c>
      <c r="E180" s="234" t="s">
        <v>292</v>
      </c>
      <c r="F180" s="81">
        <v>3</v>
      </c>
      <c r="G180" s="82">
        <v>80.69</v>
      </c>
      <c r="H180" s="83">
        <f t="shared" si="112"/>
        <v>102.98</v>
      </c>
      <c r="I180" s="83">
        <f t="shared" si="113"/>
        <v>308.94</v>
      </c>
      <c r="J180" s="127"/>
      <c r="K180" s="128"/>
      <c r="L180" s="89"/>
      <c r="N180" s="16"/>
    </row>
    <row r="181" spans="2:14" s="15" customFormat="1" ht="25.5">
      <c r="B181" s="258" t="s">
        <v>474</v>
      </c>
      <c r="C181" s="78" t="s">
        <v>136</v>
      </c>
      <c r="D181" s="84" t="s">
        <v>78</v>
      </c>
      <c r="E181" s="234" t="s">
        <v>293</v>
      </c>
      <c r="F181" s="81">
        <v>1</v>
      </c>
      <c r="G181" s="82">
        <v>129.85</v>
      </c>
      <c r="H181" s="83">
        <f t="shared" si="112"/>
        <v>165.72</v>
      </c>
      <c r="I181" s="83">
        <f t="shared" si="113"/>
        <v>165.72</v>
      </c>
      <c r="J181" s="127">
        <v>0</v>
      </c>
      <c r="K181" s="128" t="e">
        <f>(J181*#REF!)</f>
        <v>#REF!</v>
      </c>
      <c r="L181" s="89"/>
      <c r="N181" s="16"/>
    </row>
    <row r="182" spans="2:14" s="111" customFormat="1" ht="49.5" customHeight="1">
      <c r="B182" s="258" t="s">
        <v>475</v>
      </c>
      <c r="C182" s="78" t="s">
        <v>358</v>
      </c>
      <c r="D182" s="84" t="s">
        <v>55</v>
      </c>
      <c r="E182" s="80">
        <v>91854</v>
      </c>
      <c r="F182" s="81">
        <v>30.55</v>
      </c>
      <c r="G182" s="82">
        <v>5.69</v>
      </c>
      <c r="H182" s="83">
        <f t="shared" si="112"/>
        <v>7.26</v>
      </c>
      <c r="I182" s="83">
        <f t="shared" si="113"/>
        <v>221.79</v>
      </c>
      <c r="J182" s="124">
        <v>0</v>
      </c>
      <c r="K182" s="125" t="e">
        <f>(J182*#REF!)</f>
        <v>#REF!</v>
      </c>
      <c r="L182" s="103"/>
      <c r="N182" s="112"/>
    </row>
    <row r="183" spans="2:14" s="111" customFormat="1" ht="42" customHeight="1">
      <c r="B183" s="258" t="s">
        <v>476</v>
      </c>
      <c r="C183" s="78" t="s">
        <v>357</v>
      </c>
      <c r="D183" s="84" t="s">
        <v>55</v>
      </c>
      <c r="E183" s="80">
        <v>91856</v>
      </c>
      <c r="F183" s="81">
        <v>13.5</v>
      </c>
      <c r="G183" s="82">
        <v>7.13</v>
      </c>
      <c r="H183" s="83">
        <f t="shared" ref="H183" si="124">TRUNC((G183*$H$15)+G183,2)</f>
        <v>9.1</v>
      </c>
      <c r="I183" s="83">
        <f t="shared" ref="I183" si="125">TRUNC(H183*F183,2)</f>
        <v>122.85</v>
      </c>
      <c r="J183" s="124">
        <v>0</v>
      </c>
      <c r="K183" s="125" t="e">
        <f>(J183*#REF!)</f>
        <v>#REF!</v>
      </c>
      <c r="L183" s="103"/>
      <c r="N183" s="112"/>
    </row>
    <row r="184" spans="2:14" s="111" customFormat="1" ht="45.75" customHeight="1">
      <c r="B184" s="258" t="s">
        <v>477</v>
      </c>
      <c r="C184" s="78" t="s">
        <v>137</v>
      </c>
      <c r="D184" s="84" t="s">
        <v>55</v>
      </c>
      <c r="E184" s="80" t="s">
        <v>138</v>
      </c>
      <c r="F184" s="81">
        <v>27.6</v>
      </c>
      <c r="G184" s="82">
        <v>19.86</v>
      </c>
      <c r="H184" s="83">
        <f t="shared" si="112"/>
        <v>25.34</v>
      </c>
      <c r="I184" s="83">
        <f t="shared" si="113"/>
        <v>699.38</v>
      </c>
      <c r="J184" s="124"/>
      <c r="K184" s="125"/>
      <c r="L184" s="103"/>
      <c r="N184" s="112"/>
    </row>
    <row r="185" spans="2:14" s="111" customFormat="1" ht="34.5" customHeight="1">
      <c r="B185" s="258" t="s">
        <v>478</v>
      </c>
      <c r="C185" s="78" t="s">
        <v>355</v>
      </c>
      <c r="D185" s="84" t="s">
        <v>78</v>
      </c>
      <c r="E185" s="234" t="s">
        <v>280</v>
      </c>
      <c r="F185" s="81">
        <v>6</v>
      </c>
      <c r="G185" s="82">
        <v>188.59</v>
      </c>
      <c r="H185" s="83">
        <f t="shared" si="112"/>
        <v>240.69</v>
      </c>
      <c r="I185" s="83">
        <f t="shared" si="113"/>
        <v>1444.14</v>
      </c>
      <c r="J185" s="124"/>
      <c r="K185" s="125"/>
      <c r="L185" s="103"/>
      <c r="N185" s="112"/>
    </row>
    <row r="186" spans="2:14" s="111" customFormat="1" ht="66.75" customHeight="1">
      <c r="B186" s="258" t="s">
        <v>479</v>
      </c>
      <c r="C186" s="78" t="s">
        <v>333</v>
      </c>
      <c r="D186" s="84" t="s">
        <v>78</v>
      </c>
      <c r="E186" s="234">
        <v>83463</v>
      </c>
      <c r="F186" s="81">
        <v>1</v>
      </c>
      <c r="G186" s="82">
        <v>304.79000000000002</v>
      </c>
      <c r="H186" s="83">
        <f t="shared" si="112"/>
        <v>389</v>
      </c>
      <c r="I186" s="83">
        <f t="shared" si="113"/>
        <v>389</v>
      </c>
      <c r="J186" s="124">
        <v>0</v>
      </c>
      <c r="K186" s="125" t="e">
        <f>(J186*#REF!)</f>
        <v>#REF!</v>
      </c>
      <c r="L186" s="103"/>
      <c r="N186" s="112"/>
    </row>
    <row r="187" spans="2:14" s="1" customFormat="1" ht="12.75" customHeight="1">
      <c r="B187" s="355" t="s">
        <v>6</v>
      </c>
      <c r="C187" s="356"/>
      <c r="D187" s="356"/>
      <c r="E187" s="356"/>
      <c r="F187" s="415"/>
      <c r="G187" s="353">
        <f>(100%)</f>
        <v>1</v>
      </c>
      <c r="H187" s="354"/>
      <c r="I187" s="259">
        <f>SUM(I167:I186)</f>
        <v>6414.82</v>
      </c>
      <c r="J187" s="122" t="e">
        <f>(K187/#REF!)</f>
        <v>#REF!</v>
      </c>
      <c r="K187" s="123" t="e">
        <f>SUM(K168:K186)</f>
        <v>#REF!</v>
      </c>
      <c r="L187" s="73"/>
      <c r="N187" s="6"/>
    </row>
    <row r="188" spans="2:14">
      <c r="B188" s="257">
        <v>17</v>
      </c>
      <c r="C188" s="61" t="s">
        <v>297</v>
      </c>
      <c r="D188" s="412"/>
      <c r="E188" s="351"/>
      <c r="F188" s="351"/>
      <c r="G188" s="351"/>
      <c r="H188" s="351"/>
      <c r="I188" s="352"/>
      <c r="J188" s="79"/>
      <c r="K188" s="79"/>
      <c r="L188" s="75"/>
    </row>
    <row r="189" spans="2:14" s="111" customFormat="1" ht="18.75" customHeight="1">
      <c r="B189" s="258" t="s">
        <v>480</v>
      </c>
      <c r="C189" s="78" t="s">
        <v>32</v>
      </c>
      <c r="D189" s="84" t="s">
        <v>93</v>
      </c>
      <c r="E189" s="80">
        <v>9537</v>
      </c>
      <c r="F189" s="81">
        <v>280.54000000000002</v>
      </c>
      <c r="G189" s="82">
        <v>2.75</v>
      </c>
      <c r="H189" s="83">
        <f>TRUNC(G189*$H$15+G189,2)</f>
        <v>3.5</v>
      </c>
      <c r="I189" s="83">
        <f>TRUNC(H189*F189,2)</f>
        <v>981.89</v>
      </c>
      <c r="J189" s="124">
        <v>0</v>
      </c>
      <c r="K189" s="125" t="e">
        <f>(J189*#REF!)</f>
        <v>#REF!</v>
      </c>
      <c r="L189" s="103"/>
      <c r="N189" s="112"/>
    </row>
    <row r="190" spans="2:14" s="1" customFormat="1" ht="12.75" customHeight="1" thickBot="1">
      <c r="B190" s="420" t="s">
        <v>6</v>
      </c>
      <c r="C190" s="421"/>
      <c r="D190" s="421"/>
      <c r="E190" s="421"/>
      <c r="F190" s="422"/>
      <c r="G190" s="423">
        <f>(100%)</f>
        <v>1</v>
      </c>
      <c r="H190" s="424"/>
      <c r="I190" s="262">
        <f>SUM(I189:I189)+0.01</f>
        <v>981.9</v>
      </c>
      <c r="J190" s="122" t="e">
        <f>(K190/#REF!)</f>
        <v>#REF!</v>
      </c>
      <c r="K190" s="123" t="e">
        <f>SUM(K189:K189)</f>
        <v>#REF!</v>
      </c>
      <c r="L190" s="73"/>
      <c r="N190" s="6"/>
    </row>
    <row r="191" spans="2:14" ht="15.75" customHeight="1" thickBot="1">
      <c r="B191" s="425" t="s">
        <v>94</v>
      </c>
      <c r="C191" s="426"/>
      <c r="D191" s="426"/>
      <c r="E191" s="426"/>
      <c r="F191" s="426"/>
      <c r="G191" s="426"/>
      <c r="H191" s="427"/>
      <c r="I191" s="316">
        <f>SUM(I190,I187,I165,I98,I91,I87,I79,I75,I67,I61,I55,I52,I44,I34,I29,I25,I17)</f>
        <v>195132.27</v>
      </c>
      <c r="J191" s="129"/>
      <c r="K191" s="129" t="s">
        <v>35</v>
      </c>
      <c r="L191" s="76"/>
    </row>
    <row r="192" spans="2:14" ht="19.5" customHeight="1">
      <c r="B192" s="417" t="s">
        <v>483</v>
      </c>
      <c r="C192" s="418"/>
      <c r="D192" s="418"/>
      <c r="E192" s="418"/>
      <c r="F192" s="418"/>
      <c r="G192" s="418"/>
      <c r="H192" s="418"/>
      <c r="I192" s="419"/>
      <c r="J192" s="130"/>
      <c r="K192" s="130"/>
      <c r="L192" s="77"/>
    </row>
    <row r="193" spans="2:12">
      <c r="B193" s="263" t="s">
        <v>103</v>
      </c>
      <c r="C193" s="251"/>
      <c r="D193" s="252"/>
      <c r="E193" s="253"/>
      <c r="F193" s="253"/>
      <c r="G193" s="254"/>
      <c r="H193" s="251"/>
      <c r="I193" s="264"/>
      <c r="J193" s="113"/>
      <c r="K193" s="113"/>
      <c r="L193" s="113"/>
    </row>
    <row r="194" spans="2:12">
      <c r="B194" s="265"/>
      <c r="C194" s="266" t="s">
        <v>102</v>
      </c>
      <c r="D194" s="267"/>
      <c r="E194" s="268"/>
      <c r="F194" s="268"/>
      <c r="G194" s="269"/>
      <c r="H194" s="270"/>
      <c r="I194" s="271"/>
      <c r="J194" s="113"/>
      <c r="K194" s="113"/>
      <c r="L194" s="113"/>
    </row>
    <row r="195" spans="2:12" ht="5.25" customHeight="1">
      <c r="B195" s="12"/>
      <c r="C195" s="12"/>
      <c r="D195" s="13"/>
      <c r="E195" s="14"/>
      <c r="F195" s="14"/>
      <c r="G195" s="11"/>
      <c r="H195" s="12"/>
      <c r="I195" s="12"/>
      <c r="J195" s="12"/>
      <c r="K195" s="12"/>
      <c r="L195" s="12"/>
    </row>
    <row r="196" spans="2:12">
      <c r="B196" s="12"/>
      <c r="C196" s="12"/>
      <c r="D196" s="13"/>
      <c r="E196" s="14"/>
      <c r="F196" s="14"/>
      <c r="G196" s="11"/>
      <c r="H196" s="12"/>
      <c r="I196" s="12"/>
      <c r="J196" s="12"/>
      <c r="K196" s="12"/>
      <c r="L196" s="12"/>
    </row>
    <row r="197" spans="2:12">
      <c r="B197" s="12"/>
      <c r="C197" s="12"/>
      <c r="D197" s="13"/>
      <c r="E197" s="14"/>
      <c r="F197" s="14"/>
      <c r="G197" s="11"/>
      <c r="H197" s="12"/>
      <c r="I197" s="12"/>
      <c r="J197" s="12"/>
      <c r="K197" s="12"/>
      <c r="L197" s="12"/>
    </row>
    <row r="198" spans="2:12">
      <c r="B198" s="12"/>
      <c r="C198" s="12" t="s">
        <v>268</v>
      </c>
      <c r="D198" s="13"/>
      <c r="E198" s="14"/>
      <c r="F198" s="14"/>
      <c r="G198" s="11"/>
      <c r="H198" s="12"/>
      <c r="I198" s="12"/>
      <c r="J198" s="12"/>
      <c r="K198" s="12"/>
      <c r="L198" s="12"/>
    </row>
    <row r="199" spans="2:12">
      <c r="B199" s="12"/>
      <c r="C199" s="12"/>
      <c r="D199" s="13"/>
      <c r="E199" s="14"/>
      <c r="F199" s="14"/>
      <c r="G199" s="11"/>
      <c r="H199" s="12"/>
      <c r="I199" s="12"/>
      <c r="J199" s="12"/>
      <c r="K199" s="12"/>
      <c r="L199" s="12"/>
    </row>
    <row r="200" spans="2:12">
      <c r="B200" s="12"/>
      <c r="C200" s="12"/>
      <c r="D200" s="13"/>
      <c r="E200" s="14"/>
      <c r="F200" s="14"/>
      <c r="G200" s="11"/>
      <c r="H200" s="12"/>
      <c r="I200" s="12"/>
      <c r="J200" s="12"/>
      <c r="K200" s="12"/>
      <c r="L200" s="12"/>
    </row>
    <row r="201" spans="2:12">
      <c r="B201" s="12"/>
      <c r="C201" s="12"/>
      <c r="D201" s="13"/>
      <c r="E201" s="14"/>
      <c r="F201" s="14"/>
      <c r="G201" s="11"/>
      <c r="H201" s="12"/>
      <c r="I201" s="12"/>
      <c r="J201" s="12"/>
      <c r="K201" s="12"/>
      <c r="L201" s="12"/>
    </row>
    <row r="202" spans="2:12">
      <c r="B202" s="12"/>
      <c r="C202" s="12"/>
      <c r="D202" s="13"/>
      <c r="E202" s="14"/>
      <c r="F202" s="14"/>
      <c r="G202" s="11"/>
      <c r="H202" s="12"/>
      <c r="I202" s="12"/>
      <c r="J202" s="12"/>
      <c r="K202" s="12"/>
      <c r="L202" s="12"/>
    </row>
    <row r="203" spans="2:12">
      <c r="B203" s="12"/>
      <c r="C203" s="12"/>
      <c r="D203" s="13"/>
      <c r="E203" s="14"/>
      <c r="F203" s="14"/>
      <c r="G203" s="11"/>
      <c r="H203" s="12"/>
      <c r="I203" s="12"/>
      <c r="J203" s="12"/>
      <c r="K203" s="12"/>
      <c r="L203" s="12"/>
    </row>
    <row r="204" spans="2:12">
      <c r="B204" s="12"/>
      <c r="C204" s="12"/>
      <c r="D204" s="13"/>
      <c r="E204" s="14"/>
      <c r="F204" s="14"/>
      <c r="G204" s="11"/>
      <c r="H204" s="12"/>
      <c r="I204" s="12"/>
    </row>
  </sheetData>
  <mergeCells count="82">
    <mergeCell ref="J18:K18"/>
    <mergeCell ref="N18:P18"/>
    <mergeCell ref="B25:F25"/>
    <mergeCell ref="G25:H25"/>
    <mergeCell ref="B192:I192"/>
    <mergeCell ref="B190:F190"/>
    <mergeCell ref="G190:H190"/>
    <mergeCell ref="B191:H191"/>
    <mergeCell ref="B187:F187"/>
    <mergeCell ref="G187:H187"/>
    <mergeCell ref="D92:I92"/>
    <mergeCell ref="B91:F91"/>
    <mergeCell ref="D80:I80"/>
    <mergeCell ref="G98:H98"/>
    <mergeCell ref="B61:F61"/>
    <mergeCell ref="G67:H67"/>
    <mergeCell ref="D62:I62"/>
    <mergeCell ref="D188:I188"/>
    <mergeCell ref="D99:I99"/>
    <mergeCell ref="D166:I166"/>
    <mergeCell ref="B133:C133"/>
    <mergeCell ref="B165:F165"/>
    <mergeCell ref="G165:H165"/>
    <mergeCell ref="B100:C100"/>
    <mergeCell ref="B98:F98"/>
    <mergeCell ref="G91:H91"/>
    <mergeCell ref="G87:H87"/>
    <mergeCell ref="D76:I76"/>
    <mergeCell ref="B79:F79"/>
    <mergeCell ref="G79:H79"/>
    <mergeCell ref="B2:I2"/>
    <mergeCell ref="D30:I30"/>
    <mergeCell ref="B11:I11"/>
    <mergeCell ref="B12:B14"/>
    <mergeCell ref="G12:I13"/>
    <mergeCell ref="B5:I5"/>
    <mergeCell ref="B6:I6"/>
    <mergeCell ref="B55:F55"/>
    <mergeCell ref="G29:H29"/>
    <mergeCell ref="B29:F29"/>
    <mergeCell ref="B34:F34"/>
    <mergeCell ref="D35:I35"/>
    <mergeCell ref="J13:K13"/>
    <mergeCell ref="J15:K15"/>
    <mergeCell ref="B3:I3"/>
    <mergeCell ref="B7:G7"/>
    <mergeCell ref="H7:I7"/>
    <mergeCell ref="J7:K7"/>
    <mergeCell ref="F12:F14"/>
    <mergeCell ref="D12:D14"/>
    <mergeCell ref="N26:P26"/>
    <mergeCell ref="N19:P19"/>
    <mergeCell ref="J26:K26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17:F17"/>
    <mergeCell ref="G17:H17"/>
    <mergeCell ref="J12:K12"/>
    <mergeCell ref="C12:C14"/>
    <mergeCell ref="N27:P27"/>
    <mergeCell ref="D56:I56"/>
    <mergeCell ref="G34:H34"/>
    <mergeCell ref="B87:F87"/>
    <mergeCell ref="B67:F67"/>
    <mergeCell ref="D68:I68"/>
    <mergeCell ref="B75:F75"/>
    <mergeCell ref="G61:H61"/>
    <mergeCell ref="G55:H55"/>
    <mergeCell ref="D53:I53"/>
    <mergeCell ref="G44:H44"/>
    <mergeCell ref="B44:F44"/>
    <mergeCell ref="D45:I45"/>
    <mergeCell ref="G52:H52"/>
    <mergeCell ref="B52:F52"/>
    <mergeCell ref="G75:H75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1" fitToWidth="5" fitToHeight="6" orientation="landscape" r:id="rId1"/>
  <headerFooter alignWithMargins="0">
    <oddFooter>&amp;LSanto Antonio do Leste&amp;C22  de agosto de 2018&amp;RMato Grosso, Brasil</oddFooter>
  </headerFooter>
  <rowBreaks count="10" manualBreakCount="10">
    <brk id="41" min="1" max="8" man="1"/>
    <brk id="50" min="1" max="8" man="1"/>
    <brk id="61" min="1" max="8" man="1"/>
    <brk id="81" min="1" max="8" man="1"/>
    <brk id="94" min="1" max="8" man="1"/>
    <brk id="122" min="1" max="8" man="1"/>
    <brk id="130" min="1" max="8" man="1"/>
    <brk id="154" min="1" max="8" man="1"/>
    <brk id="171" min="1" max="8" man="1"/>
    <brk id="179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75"/>
  <sheetViews>
    <sheetView view="pageBreakPreview" zoomScaleSheetLayoutView="100" workbookViewId="0">
      <selection activeCell="D10" sqref="D10"/>
    </sheetView>
  </sheetViews>
  <sheetFormatPr defaultRowHeight="12.75"/>
  <cols>
    <col min="2" max="2" width="0.7109375" customWidth="1"/>
    <col min="3" max="3" width="21.85546875" customWidth="1"/>
    <col min="4" max="4" width="54.140625" bestFit="1" customWidth="1"/>
    <col min="5" max="5" width="15" customWidth="1"/>
    <col min="6" max="6" width="38.42578125" customWidth="1"/>
    <col min="7" max="7" width="11.5703125" bestFit="1" customWidth="1"/>
    <col min="8" max="8" width="11.42578125" customWidth="1"/>
    <col min="9" max="9" width="0.7109375" customWidth="1"/>
  </cols>
  <sheetData>
    <row r="1" spans="2:10" ht="18.75" customHeight="1" thickBot="1"/>
    <row r="2" spans="2:10" ht="3.75" customHeight="1" thickBot="1">
      <c r="B2" s="274"/>
      <c r="C2" s="275"/>
      <c r="D2" s="275"/>
      <c r="E2" s="276"/>
      <c r="F2" s="275"/>
      <c r="G2" s="275"/>
      <c r="H2" s="275"/>
      <c r="I2" s="277"/>
      <c r="J2" s="136"/>
    </row>
    <row r="3" spans="2:10" ht="22.5" customHeight="1">
      <c r="B3" s="278"/>
      <c r="C3" s="450" t="s">
        <v>150</v>
      </c>
      <c r="D3" s="451"/>
      <c r="E3" s="451"/>
      <c r="F3" s="451"/>
      <c r="G3" s="451"/>
      <c r="H3" s="452"/>
      <c r="I3" s="279"/>
      <c r="J3" s="136"/>
    </row>
    <row r="4" spans="2:10" ht="16.5" customHeight="1">
      <c r="B4" s="278"/>
      <c r="C4" s="453" t="s">
        <v>404</v>
      </c>
      <c r="D4" s="454"/>
      <c r="E4" s="454"/>
      <c r="F4" s="454"/>
      <c r="G4" s="454"/>
      <c r="H4" s="455"/>
      <c r="I4" s="279"/>
      <c r="J4" s="136"/>
    </row>
    <row r="5" spans="2:10" ht="13.5" thickBot="1">
      <c r="B5" s="278"/>
      <c r="C5" s="456" t="s">
        <v>151</v>
      </c>
      <c r="D5" s="457"/>
      <c r="E5" s="457"/>
      <c r="F5" s="457"/>
      <c r="G5" s="457"/>
      <c r="H5" s="458"/>
      <c r="I5" s="279"/>
      <c r="J5" s="136"/>
    </row>
    <row r="6" spans="2:10" ht="13.5" thickBot="1">
      <c r="B6" s="278"/>
      <c r="C6" s="63"/>
      <c r="D6" s="63"/>
      <c r="E6" s="137"/>
      <c r="F6" s="63"/>
      <c r="G6" s="63"/>
      <c r="H6" s="63"/>
      <c r="I6" s="279"/>
      <c r="J6" s="136"/>
    </row>
    <row r="7" spans="2:10">
      <c r="B7" s="278"/>
      <c r="C7" s="138" t="s">
        <v>152</v>
      </c>
      <c r="D7" s="446" t="s">
        <v>153</v>
      </c>
      <c r="E7" s="446"/>
      <c r="F7" s="446"/>
      <c r="G7" s="446"/>
      <c r="H7" s="139" t="s">
        <v>154</v>
      </c>
      <c r="I7" s="279"/>
      <c r="J7" s="136"/>
    </row>
    <row r="8" spans="2:10" ht="25.5">
      <c r="B8" s="278"/>
      <c r="C8" s="140" t="s">
        <v>155</v>
      </c>
      <c r="D8" s="141" t="s">
        <v>156</v>
      </c>
      <c r="E8" s="141" t="s">
        <v>78</v>
      </c>
      <c r="F8" s="141" t="s">
        <v>157</v>
      </c>
      <c r="G8" s="142" t="s">
        <v>158</v>
      </c>
      <c r="H8" s="143" t="s">
        <v>159</v>
      </c>
      <c r="I8" s="279"/>
      <c r="J8" s="136"/>
    </row>
    <row r="9" spans="2:10">
      <c r="B9" s="278"/>
      <c r="C9" s="428" t="s">
        <v>160</v>
      </c>
      <c r="D9" s="429"/>
      <c r="E9" s="429"/>
      <c r="F9" s="429"/>
      <c r="G9" s="429"/>
      <c r="H9" s="430"/>
      <c r="I9" s="279"/>
      <c r="J9" s="136"/>
    </row>
    <row r="10" spans="2:10" ht="25.5">
      <c r="B10" s="278"/>
      <c r="C10" s="144" t="s">
        <v>161</v>
      </c>
      <c r="D10" s="145" t="s">
        <v>162</v>
      </c>
      <c r="E10" s="146" t="s">
        <v>163</v>
      </c>
      <c r="F10" s="147">
        <v>160</v>
      </c>
      <c r="G10" s="148">
        <v>20.46</v>
      </c>
      <c r="H10" s="149">
        <f>TRUNC(F10*G10,2)</f>
        <v>3273.6</v>
      </c>
      <c r="I10" s="279"/>
      <c r="J10" s="136"/>
    </row>
    <row r="11" spans="2:10" ht="26.25" thickBot="1">
      <c r="B11" s="278"/>
      <c r="C11" s="144" t="s">
        <v>164</v>
      </c>
      <c r="D11" s="150" t="s">
        <v>165</v>
      </c>
      <c r="E11" s="151" t="s">
        <v>163</v>
      </c>
      <c r="F11" s="147">
        <v>24</v>
      </c>
      <c r="G11" s="152">
        <v>80.760000000000005</v>
      </c>
      <c r="H11" s="153">
        <f>TRUNC(F11*G11,2)</f>
        <v>1938.24</v>
      </c>
      <c r="I11" s="279"/>
      <c r="J11" s="136"/>
    </row>
    <row r="12" spans="2:10" ht="16.5" thickBot="1">
      <c r="B12" s="278"/>
      <c r="C12" s="449" t="s">
        <v>166</v>
      </c>
      <c r="D12" s="436"/>
      <c r="E12" s="436"/>
      <c r="F12" s="437"/>
      <c r="G12" s="154" t="s">
        <v>167</v>
      </c>
      <c r="H12" s="155">
        <f>SUM(H10:H11)</f>
        <v>5211.84</v>
      </c>
      <c r="I12" s="279"/>
      <c r="J12" s="136"/>
    </row>
    <row r="13" spans="2:10" ht="13.5" thickBot="1">
      <c r="B13" s="278"/>
      <c r="C13" s="280"/>
      <c r="D13" s="156"/>
      <c r="E13" s="156"/>
      <c r="F13" s="156"/>
      <c r="G13" s="157"/>
      <c r="H13" s="157"/>
      <c r="I13" s="279"/>
      <c r="J13" s="136"/>
    </row>
    <row r="14" spans="2:10">
      <c r="B14" s="278"/>
      <c r="C14" s="158" t="s">
        <v>168</v>
      </c>
      <c r="D14" s="444" t="s">
        <v>60</v>
      </c>
      <c r="E14" s="445"/>
      <c r="F14" s="445"/>
      <c r="G14" s="433"/>
      <c r="H14" s="159" t="s">
        <v>154</v>
      </c>
      <c r="I14" s="279"/>
      <c r="J14" s="136"/>
    </row>
    <row r="15" spans="2:10" ht="25.5">
      <c r="B15" s="278"/>
      <c r="C15" s="160" t="s">
        <v>255</v>
      </c>
      <c r="D15" s="141" t="s">
        <v>156</v>
      </c>
      <c r="E15" s="141" t="s">
        <v>78</v>
      </c>
      <c r="F15" s="141" t="s">
        <v>157</v>
      </c>
      <c r="G15" s="142" t="s">
        <v>169</v>
      </c>
      <c r="H15" s="143" t="s">
        <v>170</v>
      </c>
      <c r="I15" s="281"/>
    </row>
    <row r="16" spans="2:10">
      <c r="B16" s="278"/>
      <c r="C16" s="428" t="s">
        <v>171</v>
      </c>
      <c r="D16" s="429"/>
      <c r="E16" s="429"/>
      <c r="F16" s="429"/>
      <c r="G16" s="429"/>
      <c r="H16" s="430"/>
      <c r="I16" s="281"/>
    </row>
    <row r="17" spans="2:9" ht="38.25">
      <c r="B17" s="278"/>
      <c r="C17" s="161">
        <v>3736</v>
      </c>
      <c r="D17" s="162" t="s">
        <v>172</v>
      </c>
      <c r="E17" s="163" t="s">
        <v>154</v>
      </c>
      <c r="F17" s="164">
        <v>1</v>
      </c>
      <c r="G17" s="165">
        <v>32.5</v>
      </c>
      <c r="H17" s="166">
        <f>TRUNC(F17*G17,2)</f>
        <v>32.5</v>
      </c>
      <c r="I17" s="281"/>
    </row>
    <row r="18" spans="2:9" ht="25.5">
      <c r="B18" s="278"/>
      <c r="C18" s="167">
        <v>4430</v>
      </c>
      <c r="D18" s="168" t="s">
        <v>173</v>
      </c>
      <c r="E18" s="163" t="s">
        <v>55</v>
      </c>
      <c r="F18" s="169">
        <v>1.71</v>
      </c>
      <c r="G18" s="170">
        <v>5.1100000000000003</v>
      </c>
      <c r="H18" s="166">
        <f t="shared" ref="H18:H26" si="0">TRUNC(F18*G18,2)</f>
        <v>8.73</v>
      </c>
      <c r="I18" s="281"/>
    </row>
    <row r="19" spans="2:9" ht="25.5">
      <c r="B19" s="278"/>
      <c r="C19" s="167">
        <v>4517</v>
      </c>
      <c r="D19" s="171" t="s">
        <v>174</v>
      </c>
      <c r="E19" s="163" t="s">
        <v>55</v>
      </c>
      <c r="F19" s="169">
        <v>0.97</v>
      </c>
      <c r="G19" s="170">
        <v>1.1599999999999999</v>
      </c>
      <c r="H19" s="166">
        <f t="shared" si="0"/>
        <v>1.1200000000000001</v>
      </c>
      <c r="I19" s="281"/>
    </row>
    <row r="20" spans="2:9" ht="25.5">
      <c r="B20" s="278"/>
      <c r="C20" s="167">
        <v>367</v>
      </c>
      <c r="D20" s="171" t="s">
        <v>175</v>
      </c>
      <c r="E20" s="163" t="s">
        <v>176</v>
      </c>
      <c r="F20" s="169">
        <v>4.9000000000000002E-2</v>
      </c>
      <c r="G20" s="170">
        <v>54</v>
      </c>
      <c r="H20" s="166">
        <f t="shared" si="0"/>
        <v>2.64</v>
      </c>
      <c r="I20" s="281"/>
    </row>
    <row r="21" spans="2:9">
      <c r="B21" s="278"/>
      <c r="C21" s="167">
        <v>1379</v>
      </c>
      <c r="D21" s="172" t="s">
        <v>177</v>
      </c>
      <c r="E21" s="163" t="s">
        <v>72</v>
      </c>
      <c r="F21" s="169">
        <v>15</v>
      </c>
      <c r="G21" s="170">
        <v>0.5</v>
      </c>
      <c r="H21" s="166">
        <f t="shared" si="0"/>
        <v>7.5</v>
      </c>
      <c r="I21" s="281"/>
    </row>
    <row r="22" spans="2:9" ht="25.5">
      <c r="B22" s="278"/>
      <c r="C22" s="167">
        <v>4718</v>
      </c>
      <c r="D22" s="171" t="s">
        <v>178</v>
      </c>
      <c r="E22" s="163" t="s">
        <v>176</v>
      </c>
      <c r="F22" s="169">
        <v>3.3000000000000002E-2</v>
      </c>
      <c r="G22" s="170">
        <v>63.77</v>
      </c>
      <c r="H22" s="166">
        <f t="shared" si="0"/>
        <v>2.1</v>
      </c>
      <c r="I22" s="281"/>
    </row>
    <row r="23" spans="2:9" ht="25.5">
      <c r="B23" s="278"/>
      <c r="C23" s="167">
        <v>4721</v>
      </c>
      <c r="D23" s="171" t="s">
        <v>179</v>
      </c>
      <c r="E23" s="163" t="s">
        <v>176</v>
      </c>
      <c r="F23" s="169">
        <v>1.0999999999999999E-2</v>
      </c>
      <c r="G23" s="170">
        <v>63.77</v>
      </c>
      <c r="H23" s="166">
        <f t="shared" si="0"/>
        <v>0.7</v>
      </c>
      <c r="I23" s="281"/>
    </row>
    <row r="24" spans="2:9">
      <c r="B24" s="278"/>
      <c r="C24" s="167">
        <v>5075</v>
      </c>
      <c r="D24" s="172" t="s">
        <v>180</v>
      </c>
      <c r="E24" s="173" t="s">
        <v>72</v>
      </c>
      <c r="F24" s="174">
        <v>0.03</v>
      </c>
      <c r="G24" s="174">
        <v>9.15</v>
      </c>
      <c r="H24" s="166">
        <f t="shared" si="0"/>
        <v>0.27</v>
      </c>
      <c r="I24" s="281"/>
    </row>
    <row r="25" spans="2:9" ht="25.5">
      <c r="B25" s="278"/>
      <c r="C25" s="167">
        <v>10567</v>
      </c>
      <c r="D25" s="171" t="s">
        <v>181</v>
      </c>
      <c r="E25" s="173" t="s">
        <v>55</v>
      </c>
      <c r="F25" s="174">
        <v>0.56000000000000005</v>
      </c>
      <c r="G25" s="174">
        <v>4.25</v>
      </c>
      <c r="H25" s="166">
        <f t="shared" si="0"/>
        <v>2.38</v>
      </c>
      <c r="I25" s="281"/>
    </row>
    <row r="26" spans="2:9">
      <c r="B26" s="278"/>
      <c r="C26" s="167">
        <v>34449</v>
      </c>
      <c r="D26" s="175" t="s">
        <v>182</v>
      </c>
      <c r="E26" s="173" t="s">
        <v>72</v>
      </c>
      <c r="F26" s="174">
        <v>1.89</v>
      </c>
      <c r="G26" s="174">
        <v>5.01</v>
      </c>
      <c r="H26" s="166">
        <f t="shared" si="0"/>
        <v>9.4600000000000009</v>
      </c>
      <c r="I26" s="281"/>
    </row>
    <row r="27" spans="2:9">
      <c r="B27" s="278"/>
      <c r="C27" s="428" t="s">
        <v>160</v>
      </c>
      <c r="D27" s="429"/>
      <c r="E27" s="429"/>
      <c r="F27" s="429"/>
      <c r="G27" s="429"/>
      <c r="H27" s="430"/>
      <c r="I27" s="281"/>
    </row>
    <row r="28" spans="2:9">
      <c r="B28" s="278"/>
      <c r="C28" s="176" t="s">
        <v>183</v>
      </c>
      <c r="D28" s="172" t="s">
        <v>184</v>
      </c>
      <c r="E28" s="177" t="s">
        <v>163</v>
      </c>
      <c r="F28" s="178">
        <v>0.44</v>
      </c>
      <c r="G28" s="179">
        <v>17.420000000000002</v>
      </c>
      <c r="H28" s="180">
        <f>TRUNC(F28*G28,2)</f>
        <v>7.66</v>
      </c>
      <c r="I28" s="281"/>
    </row>
    <row r="29" spans="2:9" ht="13.5" thickBot="1">
      <c r="B29" s="278"/>
      <c r="C29" s="181" t="s">
        <v>185</v>
      </c>
      <c r="D29" s="182" t="s">
        <v>186</v>
      </c>
      <c r="E29" s="151" t="s">
        <v>163</v>
      </c>
      <c r="F29" s="183">
        <v>1.88</v>
      </c>
      <c r="G29" s="184">
        <v>14.13</v>
      </c>
      <c r="H29" s="185">
        <f>TRUNC(F29*G29,2)</f>
        <v>26.56</v>
      </c>
      <c r="I29" s="281"/>
    </row>
    <row r="30" spans="2:9" ht="16.5" thickBot="1">
      <c r="B30" s="278"/>
      <c r="C30" s="431" t="s">
        <v>187</v>
      </c>
      <c r="D30" s="431"/>
      <c r="E30" s="431"/>
      <c r="F30" s="432"/>
      <c r="G30" s="186" t="s">
        <v>167</v>
      </c>
      <c r="H30" s="187">
        <f>SUM(H17:H29)</f>
        <v>101.62</v>
      </c>
      <c r="I30" s="281"/>
    </row>
    <row r="31" spans="2:9" ht="30.75" customHeight="1">
      <c r="B31" s="278"/>
      <c r="C31" s="138" t="s">
        <v>188</v>
      </c>
      <c r="D31" s="446" t="s">
        <v>343</v>
      </c>
      <c r="E31" s="447"/>
      <c r="F31" s="447"/>
      <c r="G31" s="448"/>
      <c r="H31" s="139" t="s">
        <v>154</v>
      </c>
      <c r="I31" s="281"/>
    </row>
    <row r="32" spans="2:9" ht="25.5">
      <c r="B32" s="278"/>
      <c r="C32" s="140" t="s">
        <v>155</v>
      </c>
      <c r="D32" s="141" t="s">
        <v>156</v>
      </c>
      <c r="E32" s="141" t="s">
        <v>78</v>
      </c>
      <c r="F32" s="141" t="s">
        <v>157</v>
      </c>
      <c r="G32" s="142" t="s">
        <v>158</v>
      </c>
      <c r="H32" s="143" t="s">
        <v>159</v>
      </c>
      <c r="I32" s="281"/>
    </row>
    <row r="33" spans="2:9">
      <c r="B33" s="278"/>
      <c r="C33" s="428" t="s">
        <v>171</v>
      </c>
      <c r="D33" s="429"/>
      <c r="E33" s="429"/>
      <c r="F33" s="429"/>
      <c r="G33" s="429"/>
      <c r="H33" s="430"/>
      <c r="I33" s="281"/>
    </row>
    <row r="34" spans="2:9" ht="28.5" customHeight="1">
      <c r="B34" s="278"/>
      <c r="C34" s="239">
        <v>7311</v>
      </c>
      <c r="D34" s="238" t="s">
        <v>342</v>
      </c>
      <c r="E34" s="240" t="s">
        <v>340</v>
      </c>
      <c r="F34" s="241">
        <v>0.33</v>
      </c>
      <c r="G34" s="242">
        <v>20.34</v>
      </c>
      <c r="H34" s="243">
        <f>TRUNC(F34*G34,2)</f>
        <v>6.71</v>
      </c>
      <c r="I34" s="281"/>
    </row>
    <row r="35" spans="2:9" ht="28.5" customHeight="1">
      <c r="B35" s="278"/>
      <c r="C35" s="239">
        <v>5318</v>
      </c>
      <c r="D35" s="238" t="s">
        <v>344</v>
      </c>
      <c r="E35" s="240" t="s">
        <v>340</v>
      </c>
      <c r="F35" s="241">
        <v>0.03</v>
      </c>
      <c r="G35" s="242">
        <v>12</v>
      </c>
      <c r="H35" s="243">
        <f>TRUNC(F35*G35,2)</f>
        <v>0.36</v>
      </c>
      <c r="I35" s="281"/>
    </row>
    <row r="36" spans="2:9">
      <c r="B36" s="278"/>
      <c r="C36" s="428" t="s">
        <v>160</v>
      </c>
      <c r="D36" s="429"/>
      <c r="E36" s="429"/>
      <c r="F36" s="429"/>
      <c r="G36" s="429"/>
      <c r="H36" s="430"/>
      <c r="I36" s="281"/>
    </row>
    <row r="37" spans="2:9" ht="28.5" customHeight="1">
      <c r="B37" s="278"/>
      <c r="C37" s="239" t="s">
        <v>339</v>
      </c>
      <c r="D37" s="238" t="s">
        <v>338</v>
      </c>
      <c r="E37" s="240" t="s">
        <v>163</v>
      </c>
      <c r="F37" s="241">
        <v>0.187</v>
      </c>
      <c r="G37" s="242">
        <v>17.36</v>
      </c>
      <c r="H37" s="243">
        <f>TRUNC(F37*G37,2)</f>
        <v>3.24</v>
      </c>
      <c r="I37" s="281"/>
    </row>
    <row r="38" spans="2:9" ht="28.5" customHeight="1" thickBot="1">
      <c r="B38" s="278"/>
      <c r="C38" s="239" t="s">
        <v>185</v>
      </c>
      <c r="D38" s="238" t="s">
        <v>186</v>
      </c>
      <c r="E38" s="240" t="s">
        <v>163</v>
      </c>
      <c r="F38" s="241">
        <v>6.9000000000000006E-2</v>
      </c>
      <c r="G38" s="242">
        <v>14.13</v>
      </c>
      <c r="H38" s="243">
        <f>TRUNC(F38*G38,2)</f>
        <v>0.97</v>
      </c>
      <c r="I38" s="281"/>
    </row>
    <row r="39" spans="2:9" ht="16.5" thickBot="1">
      <c r="B39" s="278"/>
      <c r="C39" s="435" t="s">
        <v>341</v>
      </c>
      <c r="D39" s="436"/>
      <c r="E39" s="436"/>
      <c r="F39" s="437"/>
      <c r="G39" s="154" t="s">
        <v>167</v>
      </c>
      <c r="H39" s="155">
        <f>SUM(H34,H35,H37,H38)</f>
        <v>11.280000000000001</v>
      </c>
      <c r="I39" s="281"/>
    </row>
    <row r="40" spans="2:9" ht="13.5" thickBot="1">
      <c r="B40" s="278"/>
      <c r="C40" s="282"/>
      <c r="D40" s="280"/>
      <c r="E40" s="283"/>
      <c r="F40" s="283"/>
      <c r="G40" s="284"/>
      <c r="H40" s="284"/>
      <c r="I40" s="281"/>
    </row>
    <row r="41" spans="2:9">
      <c r="B41" s="278"/>
      <c r="C41" s="158" t="s">
        <v>236</v>
      </c>
      <c r="D41" s="434" t="s">
        <v>248</v>
      </c>
      <c r="E41" s="434"/>
      <c r="F41" s="434"/>
      <c r="G41" s="434"/>
      <c r="H41" s="159" t="s">
        <v>78</v>
      </c>
      <c r="I41" s="281"/>
    </row>
    <row r="42" spans="2:9" ht="25.5">
      <c r="B42" s="278"/>
      <c r="C42" s="160" t="s">
        <v>255</v>
      </c>
      <c r="D42" s="141" t="s">
        <v>156</v>
      </c>
      <c r="E42" s="141" t="s">
        <v>78</v>
      </c>
      <c r="F42" s="141" t="s">
        <v>157</v>
      </c>
      <c r="G42" s="142" t="s">
        <v>169</v>
      </c>
      <c r="H42" s="143" t="s">
        <v>170</v>
      </c>
      <c r="I42" s="281"/>
    </row>
    <row r="43" spans="2:9">
      <c r="B43" s="278"/>
      <c r="C43" s="428" t="s">
        <v>171</v>
      </c>
      <c r="D43" s="429"/>
      <c r="E43" s="429"/>
      <c r="F43" s="429"/>
      <c r="G43" s="429"/>
      <c r="H43" s="430"/>
      <c r="I43" s="281"/>
    </row>
    <row r="44" spans="2:9" ht="25.5">
      <c r="B44" s="278"/>
      <c r="C44" s="205">
        <v>36204</v>
      </c>
      <c r="D44" s="206" t="s">
        <v>249</v>
      </c>
      <c r="E44" s="249" t="s">
        <v>78</v>
      </c>
      <c r="F44" s="250">
        <v>1</v>
      </c>
      <c r="G44" s="207">
        <v>174.8</v>
      </c>
      <c r="H44" s="207">
        <f>G44*F44</f>
        <v>174.8</v>
      </c>
      <c r="I44" s="281"/>
    </row>
    <row r="45" spans="2:9">
      <c r="B45" s="278"/>
      <c r="C45" s="428" t="s">
        <v>160</v>
      </c>
      <c r="D45" s="429"/>
      <c r="E45" s="429"/>
      <c r="F45" s="429"/>
      <c r="G45" s="429"/>
      <c r="H45" s="430"/>
      <c r="I45" s="281"/>
    </row>
    <row r="46" spans="2:9" ht="13.5" thickBot="1">
      <c r="B46" s="278"/>
      <c r="C46" s="188" t="s">
        <v>183</v>
      </c>
      <c r="D46" s="145" t="s">
        <v>184</v>
      </c>
      <c r="E46" s="205" t="s">
        <v>163</v>
      </c>
      <c r="F46" s="250">
        <v>0.3</v>
      </c>
      <c r="G46" s="207">
        <v>17.420000000000002</v>
      </c>
      <c r="H46" s="207">
        <f t="shared" ref="H46" si="1">G46*F46</f>
        <v>5.226</v>
      </c>
      <c r="I46" s="281"/>
    </row>
    <row r="47" spans="2:9" ht="16.5" thickBot="1">
      <c r="B47" s="278"/>
      <c r="C47" s="438" t="s">
        <v>250</v>
      </c>
      <c r="D47" s="431"/>
      <c r="E47" s="431"/>
      <c r="F47" s="432"/>
      <c r="G47" s="186" t="s">
        <v>167</v>
      </c>
      <c r="H47" s="187">
        <f>TRUNC(SUM(H44:H46),2)</f>
        <v>180.02</v>
      </c>
      <c r="I47" s="281"/>
    </row>
    <row r="48" spans="2:9" ht="13.5" thickBot="1">
      <c r="B48" s="278"/>
      <c r="C48" s="63"/>
      <c r="D48" s="63"/>
      <c r="E48" s="63"/>
      <c r="F48" s="63"/>
      <c r="G48" s="63"/>
      <c r="H48" s="63"/>
      <c r="I48" s="281"/>
    </row>
    <row r="49" spans="2:9">
      <c r="B49" s="278"/>
      <c r="C49" s="158" t="s">
        <v>291</v>
      </c>
      <c r="D49" s="434" t="s">
        <v>252</v>
      </c>
      <c r="E49" s="434"/>
      <c r="F49" s="434"/>
      <c r="G49" s="434"/>
      <c r="H49" s="159" t="s">
        <v>78</v>
      </c>
      <c r="I49" s="281"/>
    </row>
    <row r="50" spans="2:9" ht="25.5">
      <c r="B50" s="278"/>
      <c r="C50" s="160" t="s">
        <v>255</v>
      </c>
      <c r="D50" s="141" t="s">
        <v>156</v>
      </c>
      <c r="E50" s="141" t="s">
        <v>78</v>
      </c>
      <c r="F50" s="141" t="s">
        <v>157</v>
      </c>
      <c r="G50" s="142" t="s">
        <v>169</v>
      </c>
      <c r="H50" s="143" t="s">
        <v>170</v>
      </c>
      <c r="I50" s="281"/>
    </row>
    <row r="51" spans="2:9">
      <c r="B51" s="278"/>
      <c r="C51" s="428" t="s">
        <v>171</v>
      </c>
      <c r="D51" s="429"/>
      <c r="E51" s="429"/>
      <c r="F51" s="429"/>
      <c r="G51" s="429"/>
      <c r="H51" s="430"/>
      <c r="I51" s="281"/>
    </row>
    <row r="52" spans="2:9" ht="25.5">
      <c r="B52" s="278"/>
      <c r="C52" s="205">
        <v>36081</v>
      </c>
      <c r="D52" s="206" t="s">
        <v>251</v>
      </c>
      <c r="E52" s="249" t="s">
        <v>78</v>
      </c>
      <c r="F52" s="250">
        <v>1</v>
      </c>
      <c r="G52" s="207">
        <v>206.99</v>
      </c>
      <c r="H52" s="207">
        <f>G52*F52</f>
        <v>206.99</v>
      </c>
      <c r="I52" s="281"/>
    </row>
    <row r="53" spans="2:9">
      <c r="B53" s="278"/>
      <c r="C53" s="428" t="s">
        <v>160</v>
      </c>
      <c r="D53" s="429"/>
      <c r="E53" s="429"/>
      <c r="F53" s="429"/>
      <c r="G53" s="429"/>
      <c r="H53" s="430"/>
      <c r="I53" s="281"/>
    </row>
    <row r="54" spans="2:9" ht="13.5" thickBot="1">
      <c r="B54" s="278"/>
      <c r="C54" s="188" t="s">
        <v>183</v>
      </c>
      <c r="D54" s="145" t="s">
        <v>184</v>
      </c>
      <c r="E54" s="205" t="s">
        <v>163</v>
      </c>
      <c r="F54" s="250">
        <v>0.3</v>
      </c>
      <c r="G54" s="207">
        <v>17.420000000000002</v>
      </c>
      <c r="H54" s="207">
        <f t="shared" ref="H54" si="2">G54*F54</f>
        <v>5.226</v>
      </c>
      <c r="I54" s="281"/>
    </row>
    <row r="55" spans="2:9" ht="16.5" thickBot="1">
      <c r="B55" s="278"/>
      <c r="C55" s="439" t="s">
        <v>253</v>
      </c>
      <c r="D55" s="440"/>
      <c r="E55" s="440"/>
      <c r="F55" s="441"/>
      <c r="G55" s="186" t="s">
        <v>167</v>
      </c>
      <c r="H55" s="187">
        <f>TRUNC(SUM(H52:H54),2)</f>
        <v>212.21</v>
      </c>
      <c r="I55" s="281"/>
    </row>
    <row r="56" spans="2:9" ht="16.5" customHeight="1">
      <c r="B56" s="278"/>
      <c r="C56" s="231"/>
      <c r="D56" s="232"/>
      <c r="E56" s="232"/>
      <c r="F56" s="232"/>
      <c r="G56" s="203"/>
      <c r="H56" s="204"/>
      <c r="I56" s="281"/>
    </row>
    <row r="57" spans="2:9" ht="24" thickBot="1">
      <c r="B57" s="278"/>
      <c r="C57" s="442" t="s">
        <v>254</v>
      </c>
      <c r="D57" s="443"/>
      <c r="E57" s="443"/>
      <c r="F57" s="443"/>
      <c r="G57" s="443"/>
      <c r="H57" s="443"/>
      <c r="I57" s="281"/>
    </row>
    <row r="58" spans="2:9" ht="13.5" thickBot="1">
      <c r="B58" s="278"/>
      <c r="C58" s="273" t="s">
        <v>292</v>
      </c>
      <c r="D58" s="433" t="s">
        <v>135</v>
      </c>
      <c r="E58" s="434"/>
      <c r="F58" s="434"/>
      <c r="G58" s="434"/>
      <c r="H58" s="159" t="s">
        <v>78</v>
      </c>
      <c r="I58" s="281"/>
    </row>
    <row r="59" spans="2:9" ht="25.5">
      <c r="B59" s="278"/>
      <c r="C59" s="272" t="s">
        <v>255</v>
      </c>
      <c r="D59" s="141" t="s">
        <v>156</v>
      </c>
      <c r="E59" s="141" t="s">
        <v>78</v>
      </c>
      <c r="F59" s="141" t="s">
        <v>157</v>
      </c>
      <c r="G59" s="142" t="s">
        <v>169</v>
      </c>
      <c r="H59" s="143" t="s">
        <v>170</v>
      </c>
      <c r="I59" s="281"/>
    </row>
    <row r="60" spans="2:9">
      <c r="B60" s="278"/>
      <c r="C60" s="428" t="s">
        <v>171</v>
      </c>
      <c r="D60" s="429"/>
      <c r="E60" s="429"/>
      <c r="F60" s="429"/>
      <c r="G60" s="429"/>
      <c r="H60" s="430"/>
      <c r="I60" s="281"/>
    </row>
    <row r="61" spans="2:9" ht="25.5">
      <c r="B61" s="278"/>
      <c r="C61" s="189">
        <v>39467</v>
      </c>
      <c r="D61" s="190" t="s">
        <v>189</v>
      </c>
      <c r="E61" s="189" t="s">
        <v>2</v>
      </c>
      <c r="F61" s="191">
        <v>1</v>
      </c>
      <c r="G61" s="192">
        <v>71.08</v>
      </c>
      <c r="H61" s="193">
        <f>TRUNC(F61*G61,2)</f>
        <v>71.08</v>
      </c>
      <c r="I61" s="281"/>
    </row>
    <row r="62" spans="2:9">
      <c r="B62" s="278"/>
      <c r="C62" s="428" t="s">
        <v>160</v>
      </c>
      <c r="D62" s="429"/>
      <c r="E62" s="429"/>
      <c r="F62" s="429"/>
      <c r="G62" s="429"/>
      <c r="H62" s="430"/>
      <c r="I62" s="281"/>
    </row>
    <row r="63" spans="2:9">
      <c r="B63" s="278"/>
      <c r="C63" s="189">
        <v>88264</v>
      </c>
      <c r="D63" s="194" t="s">
        <v>190</v>
      </c>
      <c r="E63" s="177" t="s">
        <v>163</v>
      </c>
      <c r="F63" s="178">
        <v>0.3</v>
      </c>
      <c r="G63" s="179">
        <v>18.04</v>
      </c>
      <c r="H63" s="180">
        <f>TRUNC(F63*G63,2)</f>
        <v>5.41</v>
      </c>
      <c r="I63" s="281"/>
    </row>
    <row r="64" spans="2:9" ht="13.5" thickBot="1">
      <c r="B64" s="278"/>
      <c r="C64" s="176" t="s">
        <v>185</v>
      </c>
      <c r="D64" s="172" t="s">
        <v>186</v>
      </c>
      <c r="E64" s="177" t="s">
        <v>163</v>
      </c>
      <c r="F64" s="178">
        <v>0.3</v>
      </c>
      <c r="G64" s="195">
        <v>14.13</v>
      </c>
      <c r="H64" s="180">
        <f>TRUNC(F64*G64,2)</f>
        <v>4.2300000000000004</v>
      </c>
      <c r="I64" s="281"/>
    </row>
    <row r="65" spans="2:9" ht="16.5" thickBot="1">
      <c r="B65" s="278"/>
      <c r="C65" s="431" t="s">
        <v>191</v>
      </c>
      <c r="D65" s="431"/>
      <c r="E65" s="431"/>
      <c r="F65" s="432"/>
      <c r="G65" s="186" t="s">
        <v>167</v>
      </c>
      <c r="H65" s="187">
        <f>SUM(H61:H64)</f>
        <v>80.72</v>
      </c>
      <c r="I65" s="281"/>
    </row>
    <row r="66" spans="2:9" ht="13.5" thickBot="1">
      <c r="B66" s="278"/>
      <c r="C66" s="63"/>
      <c r="D66" s="63"/>
      <c r="E66" s="137"/>
      <c r="F66" s="63"/>
      <c r="G66" s="63"/>
      <c r="H66" s="63"/>
      <c r="I66" s="281"/>
    </row>
    <row r="67" spans="2:9" ht="13.5" thickBot="1">
      <c r="B67" s="278"/>
      <c r="C67" s="273" t="s">
        <v>293</v>
      </c>
      <c r="D67" s="434" t="s">
        <v>192</v>
      </c>
      <c r="E67" s="434"/>
      <c r="F67" s="434"/>
      <c r="G67" s="434"/>
      <c r="H67" s="159" t="s">
        <v>78</v>
      </c>
      <c r="I67" s="281"/>
    </row>
    <row r="68" spans="2:9" ht="25.5">
      <c r="B68" s="278"/>
      <c r="C68" s="160" t="s">
        <v>255</v>
      </c>
      <c r="D68" s="141" t="s">
        <v>156</v>
      </c>
      <c r="E68" s="141" t="s">
        <v>78</v>
      </c>
      <c r="F68" s="141" t="s">
        <v>157</v>
      </c>
      <c r="G68" s="142" t="s">
        <v>169</v>
      </c>
      <c r="H68" s="143" t="s">
        <v>170</v>
      </c>
      <c r="I68" s="281"/>
    </row>
    <row r="69" spans="2:9">
      <c r="B69" s="278"/>
      <c r="C69" s="428" t="s">
        <v>171</v>
      </c>
      <c r="D69" s="429"/>
      <c r="E69" s="429"/>
      <c r="F69" s="429"/>
      <c r="G69" s="429"/>
      <c r="H69" s="430"/>
      <c r="I69" s="281"/>
    </row>
    <row r="70" spans="2:9" ht="25.5">
      <c r="B70" s="278"/>
      <c r="C70" s="189">
        <v>39447</v>
      </c>
      <c r="D70" s="190" t="s">
        <v>192</v>
      </c>
      <c r="E70" s="189" t="s">
        <v>2</v>
      </c>
      <c r="F70" s="196">
        <v>1</v>
      </c>
      <c r="G70" s="197">
        <v>110.63</v>
      </c>
      <c r="H70" s="198">
        <f>TRUNC(F70*G70,2)</f>
        <v>110.63</v>
      </c>
      <c r="I70" s="281"/>
    </row>
    <row r="71" spans="2:9">
      <c r="B71" s="278"/>
      <c r="C71" s="428" t="s">
        <v>160</v>
      </c>
      <c r="D71" s="429"/>
      <c r="E71" s="429"/>
      <c r="F71" s="429"/>
      <c r="G71" s="429"/>
      <c r="H71" s="430"/>
      <c r="I71" s="281"/>
    </row>
    <row r="72" spans="2:9">
      <c r="B72" s="278"/>
      <c r="C72" s="189">
        <v>88264</v>
      </c>
      <c r="D72" s="194" t="s">
        <v>190</v>
      </c>
      <c r="E72" s="177" t="s">
        <v>163</v>
      </c>
      <c r="F72" s="178">
        <v>0.6</v>
      </c>
      <c r="G72" s="179">
        <v>18.04</v>
      </c>
      <c r="H72" s="180">
        <f>TRUNC(F72*G72,2)</f>
        <v>10.82</v>
      </c>
      <c r="I72" s="281"/>
    </row>
    <row r="73" spans="2:9" ht="13.5" thickBot="1">
      <c r="B73" s="278"/>
      <c r="C73" s="176" t="s">
        <v>185</v>
      </c>
      <c r="D73" s="172" t="s">
        <v>186</v>
      </c>
      <c r="E73" s="177" t="s">
        <v>163</v>
      </c>
      <c r="F73" s="178">
        <v>0.6</v>
      </c>
      <c r="G73" s="195">
        <v>14.13</v>
      </c>
      <c r="H73" s="180">
        <f>TRUNC(F73*G73,2)</f>
        <v>8.4700000000000006</v>
      </c>
      <c r="I73" s="281"/>
    </row>
    <row r="74" spans="2:9" ht="16.5" thickBot="1">
      <c r="B74" s="278"/>
      <c r="C74" s="431" t="s">
        <v>193</v>
      </c>
      <c r="D74" s="431"/>
      <c r="E74" s="431"/>
      <c r="F74" s="432"/>
      <c r="G74" s="186" t="s">
        <v>167</v>
      </c>
      <c r="H74" s="187">
        <f>SUM(H70:H73)</f>
        <v>129.91999999999999</v>
      </c>
      <c r="I74" s="281"/>
    </row>
    <row r="75" spans="2:9" ht="3.75" customHeight="1" thickBot="1">
      <c r="B75" s="285"/>
      <c r="C75" s="286"/>
      <c r="D75" s="286"/>
      <c r="E75" s="286"/>
      <c r="F75" s="286"/>
      <c r="G75" s="286"/>
      <c r="H75" s="286"/>
      <c r="I75" s="287"/>
    </row>
  </sheetData>
  <mergeCells count="31">
    <mergeCell ref="C12:F12"/>
    <mergeCell ref="C3:H3"/>
    <mergeCell ref="C4:H4"/>
    <mergeCell ref="C5:H5"/>
    <mergeCell ref="D7:G7"/>
    <mergeCell ref="C9:H9"/>
    <mergeCell ref="D14:G14"/>
    <mergeCell ref="C16:H16"/>
    <mergeCell ref="C27:H27"/>
    <mergeCell ref="C30:F30"/>
    <mergeCell ref="D31:G31"/>
    <mergeCell ref="C33:H33"/>
    <mergeCell ref="C39:F39"/>
    <mergeCell ref="C36:H36"/>
    <mergeCell ref="D67:G67"/>
    <mergeCell ref="C69:H69"/>
    <mergeCell ref="D41:G41"/>
    <mergeCell ref="C43:H43"/>
    <mergeCell ref="C45:H45"/>
    <mergeCell ref="C47:F47"/>
    <mergeCell ref="D49:G49"/>
    <mergeCell ref="C51:H51"/>
    <mergeCell ref="C53:H53"/>
    <mergeCell ref="C55:F55"/>
    <mergeCell ref="C57:H57"/>
    <mergeCell ref="C71:H71"/>
    <mergeCell ref="C74:F74"/>
    <mergeCell ref="D58:G58"/>
    <mergeCell ref="C60:H60"/>
    <mergeCell ref="C62:H62"/>
    <mergeCell ref="C65:F65"/>
  </mergeCells>
  <conditionalFormatting sqref="C37:C38 C34:C35">
    <cfRule type="expression" dxfId="3" priority="1" stopIfTrue="1">
      <formula>AND($A34&lt;&gt;"COMPOSICAO",$A34&lt;&gt;"INSUMO",$A34&lt;&gt;"")</formula>
    </cfRule>
    <cfRule type="expression" dxfId="2" priority="2" stopIfTrue="1">
      <formula>AND(OR($A34="COMPOSICAO",$A34="INSUMO",$A34&lt;&gt;""),$A34&lt;&gt;"")</formula>
    </cfRule>
  </conditionalFormatting>
  <conditionalFormatting sqref="D37:D38 D34:D35">
    <cfRule type="expression" dxfId="1" priority="3" stopIfTrue="1">
      <formula>AND($A34&lt;&gt;"COMPOSICAO",$A34&lt;&gt;"INSUMO",$A34&lt;&gt;"")</formula>
    </cfRule>
    <cfRule type="expression" dxfId="0" priority="4" stopIfTrue="1">
      <formula>AND(OR($A34="COMPOSICAO",$A34="INSUMO",$A34&lt;&gt;""),$A34&lt;&gt;"")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1"/>
  <sheetViews>
    <sheetView showGridLines="0" view="pageBreakPreview" topLeftCell="A43" zoomScaleSheetLayoutView="100" workbookViewId="0">
      <selection activeCell="L51" sqref="L51"/>
    </sheetView>
  </sheetViews>
  <sheetFormatPr defaultColWidth="11.42578125" defaultRowHeight="12.75"/>
  <cols>
    <col min="1" max="1" width="0.7109375" style="10" customWidth="1"/>
    <col min="2" max="2" width="14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288"/>
      <c r="B1" s="294"/>
      <c r="C1" s="294"/>
      <c r="D1" s="294"/>
      <c r="E1" s="294"/>
      <c r="F1" s="294"/>
      <c r="G1" s="294"/>
      <c r="H1" s="294"/>
      <c r="I1" s="294"/>
      <c r="J1" s="289"/>
    </row>
    <row r="2" spans="1:10">
      <c r="A2" s="290"/>
      <c r="B2" s="471" t="s">
        <v>7</v>
      </c>
      <c r="C2" s="472"/>
      <c r="D2" s="472"/>
      <c r="E2" s="472"/>
      <c r="F2" s="472"/>
      <c r="G2" s="472"/>
      <c r="H2" s="472"/>
      <c r="I2" s="473"/>
      <c r="J2" s="291"/>
    </row>
    <row r="3" spans="1:10">
      <c r="A3" s="290"/>
      <c r="B3" s="474"/>
      <c r="C3" s="475"/>
      <c r="D3" s="475"/>
      <c r="E3" s="475"/>
      <c r="F3" s="475"/>
      <c r="G3" s="475"/>
      <c r="H3" s="475"/>
      <c r="I3" s="476"/>
      <c r="J3" s="291"/>
    </row>
    <row r="4" spans="1:10" ht="15" customHeight="1">
      <c r="A4" s="290"/>
      <c r="B4" s="314"/>
      <c r="C4" s="483" t="s">
        <v>401</v>
      </c>
      <c r="D4" s="483"/>
      <c r="E4" s="483"/>
      <c r="F4" s="483"/>
      <c r="G4" s="483"/>
      <c r="H4" s="483"/>
      <c r="I4" s="484"/>
      <c r="J4" s="291"/>
    </row>
    <row r="5" spans="1:10" ht="23.25" customHeight="1">
      <c r="A5" s="290"/>
      <c r="B5" s="314"/>
      <c r="C5" s="483"/>
      <c r="D5" s="483"/>
      <c r="E5" s="483"/>
      <c r="F5" s="483"/>
      <c r="G5" s="483"/>
      <c r="H5" s="483"/>
      <c r="I5" s="484"/>
      <c r="J5" s="291"/>
    </row>
    <row r="6" spans="1:10" ht="19.5" customHeight="1">
      <c r="A6" s="290"/>
      <c r="B6" s="315"/>
      <c r="C6" s="487" t="s">
        <v>402</v>
      </c>
      <c r="D6" s="487"/>
      <c r="E6" s="487"/>
      <c r="F6" s="487"/>
      <c r="G6" s="487"/>
      <c r="H6" s="487"/>
      <c r="I6" s="488"/>
      <c r="J6" s="291"/>
    </row>
    <row r="7" spans="1:10" ht="23.25" customHeight="1">
      <c r="A7" s="290"/>
      <c r="B7" s="315"/>
      <c r="C7" s="485" t="s">
        <v>403</v>
      </c>
      <c r="D7" s="485"/>
      <c r="E7" s="485"/>
      <c r="F7" s="485"/>
      <c r="G7" s="485"/>
      <c r="H7" s="485"/>
      <c r="I7" s="486"/>
      <c r="J7" s="291"/>
    </row>
    <row r="8" spans="1:10" ht="17.100000000000001" customHeight="1" thickBot="1">
      <c r="A8" s="290"/>
      <c r="B8" s="479" t="str">
        <f>'planilha de orçamento'!H10</f>
        <v>DATA:22/08/2018</v>
      </c>
      <c r="C8" s="480"/>
      <c r="D8" s="26"/>
      <c r="E8" s="26"/>
      <c r="F8" s="27"/>
      <c r="G8" s="28"/>
      <c r="H8" s="481" t="s">
        <v>89</v>
      </c>
      <c r="I8" s="482"/>
      <c r="J8" s="291"/>
    </row>
    <row r="9" spans="1:10" ht="17.100000000000001" customHeight="1">
      <c r="A9" s="290"/>
      <c r="B9" s="29"/>
      <c r="C9" s="30"/>
      <c r="D9" s="30"/>
      <c r="E9" s="30"/>
      <c r="F9" s="30"/>
      <c r="G9" s="30"/>
      <c r="H9" s="30"/>
      <c r="I9" s="30"/>
      <c r="J9" s="291"/>
    </row>
    <row r="10" spans="1:10">
      <c r="A10" s="290"/>
      <c r="B10" s="477" t="s">
        <v>0</v>
      </c>
      <c r="C10" s="477" t="s">
        <v>8</v>
      </c>
      <c r="D10" s="477" t="s">
        <v>9</v>
      </c>
      <c r="E10" s="31" t="s">
        <v>10</v>
      </c>
      <c r="F10" s="477" t="s">
        <v>25</v>
      </c>
      <c r="G10" s="477" t="s">
        <v>26</v>
      </c>
      <c r="H10" s="477" t="s">
        <v>27</v>
      </c>
      <c r="I10" s="477" t="s">
        <v>28</v>
      </c>
      <c r="J10" s="291"/>
    </row>
    <row r="11" spans="1:10">
      <c r="A11" s="290"/>
      <c r="B11" s="478"/>
      <c r="C11" s="478"/>
      <c r="D11" s="478"/>
      <c r="E11" s="31" t="s">
        <v>11</v>
      </c>
      <c r="F11" s="478"/>
      <c r="G11" s="478"/>
      <c r="H11" s="478"/>
      <c r="I11" s="478"/>
      <c r="J11" s="291"/>
    </row>
    <row r="12" spans="1:10">
      <c r="A12" s="290"/>
      <c r="B12" s="328">
        <v>1</v>
      </c>
      <c r="C12" s="325" t="s">
        <v>104</v>
      </c>
      <c r="D12" s="320">
        <f>E12/$E$64+0.00001</f>
        <v>3.4099030994207163E-2</v>
      </c>
      <c r="E12" s="459">
        <f>'planilha de orçamento'!I17</f>
        <v>6651.87</v>
      </c>
      <c r="F12" s="32"/>
      <c r="G12" s="32"/>
      <c r="H12" s="32"/>
      <c r="I12" s="32"/>
      <c r="J12" s="291"/>
    </row>
    <row r="13" spans="1:10">
      <c r="A13" s="290"/>
      <c r="B13" s="329"/>
      <c r="C13" s="326"/>
      <c r="D13" s="320"/>
      <c r="E13" s="460"/>
      <c r="F13" s="34">
        <v>0.25</v>
      </c>
      <c r="G13" s="34">
        <v>0.25</v>
      </c>
      <c r="H13" s="34">
        <v>0.25</v>
      </c>
      <c r="I13" s="35">
        <v>0.25</v>
      </c>
      <c r="J13" s="291"/>
    </row>
    <row r="14" spans="1:10">
      <c r="A14" s="290"/>
      <c r="B14" s="330"/>
      <c r="C14" s="327"/>
      <c r="D14" s="320"/>
      <c r="E14" s="461"/>
      <c r="F14" s="36">
        <f>(F13*E12)</f>
        <v>1662.9675</v>
      </c>
      <c r="G14" s="36">
        <f>(G13*E12)</f>
        <v>1662.9675</v>
      </c>
      <c r="H14" s="36">
        <f>(H13*E12)</f>
        <v>1662.9675</v>
      </c>
      <c r="I14" s="37">
        <f>(I13*E12)</f>
        <v>1662.9675</v>
      </c>
      <c r="J14" s="291"/>
    </row>
    <row r="15" spans="1:10">
      <c r="A15" s="290"/>
      <c r="B15" s="328">
        <v>2</v>
      </c>
      <c r="C15" s="325" t="s">
        <v>400</v>
      </c>
      <c r="D15" s="320">
        <f>E15/$E$64+0.00001</f>
        <v>1.9059078863275666E-2</v>
      </c>
      <c r="E15" s="459">
        <f>'planilha de orçamento'!I25</f>
        <v>3717.09</v>
      </c>
      <c r="F15" s="32"/>
      <c r="G15" s="97"/>
      <c r="H15" s="33"/>
      <c r="I15" s="33"/>
      <c r="J15" s="291"/>
    </row>
    <row r="16" spans="1:10">
      <c r="A16" s="290"/>
      <c r="B16" s="329"/>
      <c r="C16" s="326"/>
      <c r="D16" s="320"/>
      <c r="E16" s="460"/>
      <c r="F16" s="34">
        <v>1</v>
      </c>
      <c r="G16" s="34"/>
      <c r="H16" s="35"/>
      <c r="I16" s="35"/>
      <c r="J16" s="291"/>
    </row>
    <row r="17" spans="1:10">
      <c r="A17" s="290"/>
      <c r="B17" s="330"/>
      <c r="C17" s="327"/>
      <c r="D17" s="320"/>
      <c r="E17" s="461"/>
      <c r="F17" s="36">
        <f>(F16*E15)</f>
        <v>3717.09</v>
      </c>
      <c r="G17" s="37"/>
      <c r="H17" s="38"/>
      <c r="I17" s="37"/>
      <c r="J17" s="291"/>
    </row>
    <row r="18" spans="1:10">
      <c r="A18" s="290"/>
      <c r="B18" s="328">
        <v>3</v>
      </c>
      <c r="C18" s="325" t="s">
        <v>12</v>
      </c>
      <c r="D18" s="320">
        <f>E18/$E$64+0.00001</f>
        <v>3.0076118740893037E-2</v>
      </c>
      <c r="E18" s="459">
        <f>'planilha de orçamento'!I29</f>
        <v>5866.87</v>
      </c>
      <c r="F18" s="32"/>
      <c r="G18" s="97"/>
      <c r="H18" s="33"/>
      <c r="I18" s="33"/>
      <c r="J18" s="291"/>
    </row>
    <row r="19" spans="1:10">
      <c r="A19" s="290"/>
      <c r="B19" s="329"/>
      <c r="C19" s="326"/>
      <c r="D19" s="320"/>
      <c r="E19" s="460"/>
      <c r="F19" s="34">
        <v>1</v>
      </c>
      <c r="G19" s="34"/>
      <c r="H19" s="35"/>
      <c r="I19" s="35"/>
      <c r="J19" s="291"/>
    </row>
    <row r="20" spans="1:10">
      <c r="A20" s="290"/>
      <c r="B20" s="330"/>
      <c r="C20" s="327"/>
      <c r="D20" s="320"/>
      <c r="E20" s="461"/>
      <c r="F20" s="36">
        <f>(F19*E18)</f>
        <v>5866.87</v>
      </c>
      <c r="G20" s="37"/>
      <c r="H20" s="38"/>
      <c r="I20" s="37"/>
      <c r="J20" s="291"/>
    </row>
    <row r="21" spans="1:10">
      <c r="A21" s="290"/>
      <c r="B21" s="328">
        <v>4</v>
      </c>
      <c r="C21" s="325" t="s">
        <v>13</v>
      </c>
      <c r="D21" s="320">
        <f>E21/$E$64</f>
        <v>7.7491539456800247E-3</v>
      </c>
      <c r="E21" s="459">
        <f>'planilha de orçamento'!I34</f>
        <v>1512.11</v>
      </c>
      <c r="F21" s="39"/>
      <c r="G21" s="40"/>
      <c r="H21" s="41"/>
      <c r="I21" s="42"/>
      <c r="J21" s="291"/>
    </row>
    <row r="22" spans="1:10">
      <c r="A22" s="290"/>
      <c r="B22" s="329"/>
      <c r="C22" s="326"/>
      <c r="D22" s="320"/>
      <c r="E22" s="460"/>
      <c r="F22" s="34">
        <v>1</v>
      </c>
      <c r="G22" s="34"/>
      <c r="H22" s="35"/>
      <c r="I22" s="35"/>
      <c r="J22" s="291"/>
    </row>
    <row r="23" spans="1:10">
      <c r="A23" s="290"/>
      <c r="B23" s="330"/>
      <c r="C23" s="327"/>
      <c r="D23" s="320"/>
      <c r="E23" s="461"/>
      <c r="F23" s="36">
        <f>F22*E21</f>
        <v>1512.11</v>
      </c>
      <c r="G23" s="36"/>
      <c r="H23" s="38"/>
      <c r="I23" s="37"/>
      <c r="J23" s="291"/>
    </row>
    <row r="24" spans="1:10">
      <c r="A24" s="290"/>
      <c r="B24" s="328">
        <v>5</v>
      </c>
      <c r="C24" s="325" t="s">
        <v>81</v>
      </c>
      <c r="D24" s="320">
        <f>E24/$E$64</f>
        <v>6.9428752097231289E-2</v>
      </c>
      <c r="E24" s="459">
        <f>'planilha de orçamento'!I44</f>
        <v>13547.79</v>
      </c>
      <c r="F24" s="43"/>
      <c r="G24" s="468"/>
      <c r="H24" s="462"/>
      <c r="I24" s="42"/>
      <c r="J24" s="291"/>
    </row>
    <row r="25" spans="1:10">
      <c r="A25" s="290"/>
      <c r="B25" s="329"/>
      <c r="C25" s="326"/>
      <c r="D25" s="320"/>
      <c r="E25" s="460"/>
      <c r="F25" s="34">
        <v>1</v>
      </c>
      <c r="G25" s="469"/>
      <c r="H25" s="463"/>
      <c r="I25" s="35"/>
      <c r="J25" s="291"/>
    </row>
    <row r="26" spans="1:10">
      <c r="A26" s="290"/>
      <c r="B26" s="330"/>
      <c r="C26" s="327"/>
      <c r="D26" s="320"/>
      <c r="E26" s="461"/>
      <c r="F26" s="36">
        <f>F25*E24</f>
        <v>13547.79</v>
      </c>
      <c r="G26" s="470"/>
      <c r="H26" s="464"/>
      <c r="I26" s="37"/>
      <c r="J26" s="291"/>
    </row>
    <row r="27" spans="1:10">
      <c r="A27" s="290"/>
      <c r="B27" s="328">
        <v>6</v>
      </c>
      <c r="C27" s="325" t="s">
        <v>29</v>
      </c>
      <c r="D27" s="320">
        <f>E27/$E$64</f>
        <v>4.6647845586995938E-2</v>
      </c>
      <c r="E27" s="459">
        <f>'planilha de orçamento'!I52</f>
        <v>9102.5</v>
      </c>
      <c r="F27" s="43"/>
      <c r="G27" s="468"/>
      <c r="H27" s="462"/>
      <c r="I27" s="42"/>
      <c r="J27" s="291"/>
    </row>
    <row r="28" spans="1:10">
      <c r="A28" s="290"/>
      <c r="B28" s="329"/>
      <c r="C28" s="326"/>
      <c r="D28" s="320"/>
      <c r="E28" s="460"/>
      <c r="F28" s="34">
        <v>1</v>
      </c>
      <c r="G28" s="469"/>
      <c r="H28" s="463"/>
      <c r="I28" s="35"/>
      <c r="J28" s="291"/>
    </row>
    <row r="29" spans="1:10">
      <c r="A29" s="290"/>
      <c r="B29" s="330"/>
      <c r="C29" s="327"/>
      <c r="D29" s="320"/>
      <c r="E29" s="461"/>
      <c r="F29" s="36">
        <f>F28*E27</f>
        <v>9102.5</v>
      </c>
      <c r="G29" s="470"/>
      <c r="H29" s="464"/>
      <c r="I29" s="37"/>
      <c r="J29" s="291"/>
    </row>
    <row r="30" spans="1:10">
      <c r="A30" s="290"/>
      <c r="B30" s="328">
        <v>7</v>
      </c>
      <c r="C30" s="325" t="s">
        <v>82</v>
      </c>
      <c r="D30" s="320">
        <f>E30/$E$64</f>
        <v>4.8560394444240318E-3</v>
      </c>
      <c r="E30" s="460">
        <f>'planilha de orçamento'!I55</f>
        <v>947.57</v>
      </c>
      <c r="F30" s="43"/>
      <c r="G30" s="468"/>
      <c r="H30" s="462"/>
      <c r="I30" s="42"/>
      <c r="J30" s="291"/>
    </row>
    <row r="31" spans="1:10">
      <c r="A31" s="290"/>
      <c r="B31" s="329"/>
      <c r="C31" s="326"/>
      <c r="D31" s="320"/>
      <c r="E31" s="460"/>
      <c r="F31" s="34">
        <v>1</v>
      </c>
      <c r="G31" s="469"/>
      <c r="H31" s="463"/>
      <c r="I31" s="35"/>
      <c r="J31" s="291"/>
    </row>
    <row r="32" spans="1:10">
      <c r="A32" s="290"/>
      <c r="B32" s="330"/>
      <c r="C32" s="327"/>
      <c r="D32" s="320"/>
      <c r="E32" s="461"/>
      <c r="F32" s="36">
        <f>F31*E30</f>
        <v>947.57</v>
      </c>
      <c r="G32" s="470"/>
      <c r="H32" s="464"/>
      <c r="I32" s="37"/>
      <c r="J32" s="291"/>
    </row>
    <row r="33" spans="1:10">
      <c r="A33" s="290"/>
      <c r="B33" s="328">
        <v>8</v>
      </c>
      <c r="C33" s="325" t="s">
        <v>83</v>
      </c>
      <c r="D33" s="320">
        <f>E33/$E$64</f>
        <v>6.0010935146708425E-2</v>
      </c>
      <c r="E33" s="459">
        <f>'planilha de orçamento'!I61</f>
        <v>11710.069999999998</v>
      </c>
      <c r="F33" s="43"/>
      <c r="G33" s="468"/>
      <c r="H33" s="462"/>
      <c r="I33" s="42"/>
      <c r="J33" s="291"/>
    </row>
    <row r="34" spans="1:10">
      <c r="A34" s="290"/>
      <c r="B34" s="329"/>
      <c r="C34" s="326"/>
      <c r="D34" s="320"/>
      <c r="E34" s="460"/>
      <c r="F34" s="34">
        <v>1</v>
      </c>
      <c r="G34" s="469"/>
      <c r="H34" s="463"/>
      <c r="I34" s="35"/>
      <c r="J34" s="291"/>
    </row>
    <row r="35" spans="1:10">
      <c r="A35" s="290"/>
      <c r="B35" s="330"/>
      <c r="C35" s="327"/>
      <c r="D35" s="320"/>
      <c r="E35" s="461"/>
      <c r="F35" s="36">
        <f>F34*E33</f>
        <v>11710.069999999998</v>
      </c>
      <c r="G35" s="470"/>
      <c r="H35" s="464"/>
      <c r="I35" s="37"/>
      <c r="J35" s="291"/>
    </row>
    <row r="36" spans="1:10">
      <c r="A36" s="290"/>
      <c r="B36" s="328">
        <v>9</v>
      </c>
      <c r="C36" s="465" t="s">
        <v>14</v>
      </c>
      <c r="D36" s="320">
        <f>E36/$E$64</f>
        <v>0.12393003986475432</v>
      </c>
      <c r="E36" s="459">
        <f>'planilha de orçamento'!I67</f>
        <v>24182.75</v>
      </c>
      <c r="F36" s="44"/>
      <c r="G36" s="47"/>
      <c r="H36" s="48"/>
      <c r="I36" s="49"/>
      <c r="J36" s="291"/>
    </row>
    <row r="37" spans="1:10">
      <c r="A37" s="290"/>
      <c r="B37" s="329"/>
      <c r="C37" s="466"/>
      <c r="D37" s="320"/>
      <c r="E37" s="460"/>
      <c r="F37" s="35">
        <v>1</v>
      </c>
      <c r="G37" s="35"/>
      <c r="H37" s="46"/>
      <c r="I37" s="46"/>
      <c r="J37" s="291"/>
    </row>
    <row r="38" spans="1:10">
      <c r="A38" s="290"/>
      <c r="B38" s="330"/>
      <c r="C38" s="467"/>
      <c r="D38" s="320"/>
      <c r="E38" s="461"/>
      <c r="F38" s="37">
        <f>F37*E36</f>
        <v>24182.75</v>
      </c>
      <c r="G38" s="37"/>
      <c r="H38" s="50"/>
      <c r="I38" s="50"/>
      <c r="J38" s="291"/>
    </row>
    <row r="39" spans="1:10">
      <c r="A39" s="290"/>
      <c r="B39" s="328">
        <v>10</v>
      </c>
      <c r="C39" s="325" t="s">
        <v>15</v>
      </c>
      <c r="D39" s="320">
        <f>E39/$E$64</f>
        <v>0.13859081329807726</v>
      </c>
      <c r="E39" s="459">
        <f>'planilha de orçamento'!I75</f>
        <v>27043.54</v>
      </c>
      <c r="F39" s="45"/>
      <c r="G39" s="44"/>
      <c r="H39" s="462"/>
      <c r="I39" s="47"/>
      <c r="J39" s="291"/>
    </row>
    <row r="40" spans="1:10">
      <c r="A40" s="290"/>
      <c r="B40" s="329"/>
      <c r="C40" s="326"/>
      <c r="D40" s="320"/>
      <c r="E40" s="460"/>
      <c r="F40" s="35"/>
      <c r="G40" s="45">
        <v>1</v>
      </c>
      <c r="H40" s="463"/>
      <c r="I40" s="35"/>
      <c r="J40" s="291"/>
    </row>
    <row r="41" spans="1:10">
      <c r="A41" s="290"/>
      <c r="B41" s="330"/>
      <c r="C41" s="326"/>
      <c r="D41" s="320"/>
      <c r="E41" s="461"/>
      <c r="F41" s="91"/>
      <c r="G41" s="37">
        <f>G40*E39</f>
        <v>27043.54</v>
      </c>
      <c r="H41" s="464"/>
      <c r="I41" s="37"/>
      <c r="J41" s="291"/>
    </row>
    <row r="42" spans="1:10">
      <c r="A42" s="290"/>
      <c r="B42" s="328">
        <v>11</v>
      </c>
      <c r="C42" s="325" t="s">
        <v>481</v>
      </c>
      <c r="D42" s="320">
        <f>E42/$E$64</f>
        <v>4.3268291810472967E-2</v>
      </c>
      <c r="E42" s="459">
        <f>'planilha de orçamento'!I79</f>
        <v>8443.0399999999991</v>
      </c>
      <c r="F42" s="45"/>
      <c r="G42" s="44"/>
      <c r="H42" s="462"/>
      <c r="I42" s="47"/>
      <c r="J42" s="291"/>
    </row>
    <row r="43" spans="1:10">
      <c r="A43" s="290"/>
      <c r="B43" s="329"/>
      <c r="C43" s="326"/>
      <c r="D43" s="320"/>
      <c r="E43" s="460"/>
      <c r="F43" s="35"/>
      <c r="G43" s="45">
        <v>1</v>
      </c>
      <c r="H43" s="463"/>
      <c r="I43" s="35"/>
      <c r="J43" s="291"/>
    </row>
    <row r="44" spans="1:10">
      <c r="A44" s="290"/>
      <c r="B44" s="330"/>
      <c r="C44" s="326"/>
      <c r="D44" s="320"/>
      <c r="E44" s="461"/>
      <c r="F44" s="91"/>
      <c r="G44" s="37">
        <f>G43*E42</f>
        <v>8443.0399999999991</v>
      </c>
      <c r="H44" s="464"/>
      <c r="I44" s="37"/>
      <c r="J44" s="291"/>
    </row>
    <row r="45" spans="1:10">
      <c r="A45" s="290"/>
      <c r="B45" s="328">
        <v>12</v>
      </c>
      <c r="C45" s="325" t="s">
        <v>86</v>
      </c>
      <c r="D45" s="320">
        <f>E45/$E$64</f>
        <v>0.12730313648275604</v>
      </c>
      <c r="E45" s="459">
        <f>'planilha de orçamento'!I87</f>
        <v>24840.95</v>
      </c>
      <c r="F45" s="34"/>
      <c r="G45" s="44"/>
      <c r="H45" s="462"/>
      <c r="I45" s="47"/>
      <c r="J45" s="291"/>
    </row>
    <row r="46" spans="1:10">
      <c r="A46" s="290"/>
      <c r="B46" s="329"/>
      <c r="C46" s="326"/>
      <c r="D46" s="320"/>
      <c r="E46" s="460"/>
      <c r="F46" s="35"/>
      <c r="G46" s="45">
        <v>1</v>
      </c>
      <c r="H46" s="463"/>
      <c r="I46" s="35"/>
      <c r="J46" s="291"/>
    </row>
    <row r="47" spans="1:10">
      <c r="A47" s="290"/>
      <c r="B47" s="330"/>
      <c r="C47" s="326"/>
      <c r="D47" s="320"/>
      <c r="E47" s="461"/>
      <c r="F47" s="35"/>
      <c r="G47" s="37">
        <f>G46*E45</f>
        <v>24840.95</v>
      </c>
      <c r="H47" s="464"/>
      <c r="I47" s="37"/>
      <c r="J47" s="291"/>
    </row>
    <row r="48" spans="1:10">
      <c r="A48" s="290"/>
      <c r="B48" s="328">
        <v>13</v>
      </c>
      <c r="C48" s="465" t="s">
        <v>30</v>
      </c>
      <c r="D48" s="320">
        <f>E48/$E$64</f>
        <v>2.2041766848712414E-2</v>
      </c>
      <c r="E48" s="459">
        <f>'planilha de orçamento'!I91</f>
        <v>4301.0599999999995</v>
      </c>
      <c r="F48" s="51"/>
      <c r="G48" s="462"/>
      <c r="H48" s="44"/>
      <c r="I48" s="44"/>
      <c r="J48" s="291"/>
    </row>
    <row r="49" spans="1:10">
      <c r="A49" s="290"/>
      <c r="B49" s="329"/>
      <c r="C49" s="466"/>
      <c r="D49" s="320"/>
      <c r="E49" s="460"/>
      <c r="F49" s="34"/>
      <c r="G49" s="463"/>
      <c r="H49" s="35">
        <v>0.5</v>
      </c>
      <c r="I49" s="35">
        <v>0.5</v>
      </c>
      <c r="J49" s="291"/>
    </row>
    <row r="50" spans="1:10">
      <c r="A50" s="290"/>
      <c r="B50" s="330"/>
      <c r="C50" s="467"/>
      <c r="D50" s="320"/>
      <c r="E50" s="461"/>
      <c r="F50" s="36"/>
      <c r="G50" s="464"/>
      <c r="H50" s="38">
        <f>H49*E48</f>
        <v>2150.5299999999997</v>
      </c>
      <c r="I50" s="38">
        <f>I49*E48</f>
        <v>2150.5299999999997</v>
      </c>
      <c r="J50" s="291"/>
    </row>
    <row r="51" spans="1:10">
      <c r="A51" s="290"/>
      <c r="B51" s="328">
        <v>14</v>
      </c>
      <c r="C51" s="465" t="s">
        <v>16</v>
      </c>
      <c r="D51" s="320">
        <f>E51/$E$64</f>
        <v>6.2186228859019588E-2</v>
      </c>
      <c r="E51" s="459">
        <f>'planilha de orçamento'!I98</f>
        <v>12134.54</v>
      </c>
      <c r="F51" s="51"/>
      <c r="G51" s="44"/>
      <c r="H51" s="44"/>
      <c r="I51" s="44"/>
      <c r="J51" s="291"/>
    </row>
    <row r="52" spans="1:10">
      <c r="A52" s="290"/>
      <c r="B52" s="329"/>
      <c r="C52" s="466"/>
      <c r="D52" s="320"/>
      <c r="E52" s="460"/>
      <c r="F52" s="34"/>
      <c r="G52" s="45">
        <v>0.2</v>
      </c>
      <c r="H52" s="45">
        <v>0.4</v>
      </c>
      <c r="I52" s="35">
        <v>0.4</v>
      </c>
      <c r="J52" s="291"/>
    </row>
    <row r="53" spans="1:10">
      <c r="A53" s="290"/>
      <c r="B53" s="330"/>
      <c r="C53" s="467"/>
      <c r="D53" s="320"/>
      <c r="E53" s="461"/>
      <c r="F53" s="36"/>
      <c r="G53" s="37">
        <f>G52*E51</f>
        <v>2426.9080000000004</v>
      </c>
      <c r="H53" s="37">
        <f>H52*E51</f>
        <v>4853.8160000000007</v>
      </c>
      <c r="I53" s="38">
        <f>I52*E51</f>
        <v>4853.8160000000007</v>
      </c>
      <c r="J53" s="291"/>
    </row>
    <row r="54" spans="1:10">
      <c r="A54" s="290"/>
      <c r="B54" s="328">
        <v>15</v>
      </c>
      <c r="C54" s="325" t="s">
        <v>88</v>
      </c>
      <c r="D54" s="320">
        <f>E54/$E$64</f>
        <v>0.17287658263802294</v>
      </c>
      <c r="E54" s="459">
        <f>'planilha de orçamento'!I165</f>
        <v>33733.800000000003</v>
      </c>
      <c r="F54" s="51"/>
      <c r="G54" s="44"/>
      <c r="H54" s="44"/>
      <c r="I54" s="44"/>
      <c r="J54" s="291"/>
    </row>
    <row r="55" spans="1:10">
      <c r="A55" s="290"/>
      <c r="B55" s="329"/>
      <c r="C55" s="326"/>
      <c r="D55" s="320"/>
      <c r="E55" s="460"/>
      <c r="F55" s="34"/>
      <c r="G55" s="45">
        <v>0.2</v>
      </c>
      <c r="H55" s="45">
        <v>0.4</v>
      </c>
      <c r="I55" s="35">
        <v>0.4</v>
      </c>
      <c r="J55" s="291"/>
    </row>
    <row r="56" spans="1:10">
      <c r="A56" s="290"/>
      <c r="B56" s="330"/>
      <c r="C56" s="327"/>
      <c r="D56" s="320"/>
      <c r="E56" s="461"/>
      <c r="F56" s="36"/>
      <c r="G56" s="37">
        <f>G55*E54</f>
        <v>6746.7600000000011</v>
      </c>
      <c r="H56" s="37">
        <f>H55*E54</f>
        <v>13493.520000000002</v>
      </c>
      <c r="I56" s="38">
        <f>I55*E54</f>
        <v>13493.520000000002</v>
      </c>
      <c r="J56" s="291"/>
    </row>
    <row r="57" spans="1:10">
      <c r="A57" s="290"/>
      <c r="B57" s="328">
        <v>16</v>
      </c>
      <c r="C57" s="325" t="s">
        <v>144</v>
      </c>
      <c r="D57" s="320">
        <f>E57/$E$64</f>
        <v>3.2874213988285994E-2</v>
      </c>
      <c r="E57" s="459">
        <f>'planilha de orçamento'!I187</f>
        <v>6414.82</v>
      </c>
      <c r="F57" s="51"/>
      <c r="G57" s="44"/>
      <c r="H57" s="44"/>
      <c r="I57" s="44"/>
      <c r="J57" s="291"/>
    </row>
    <row r="58" spans="1:10">
      <c r="A58" s="290"/>
      <c r="B58" s="329"/>
      <c r="C58" s="326"/>
      <c r="D58" s="320"/>
      <c r="E58" s="460"/>
      <c r="F58" s="34"/>
      <c r="G58" s="45">
        <v>0.1</v>
      </c>
      <c r="H58" s="45">
        <v>0.4</v>
      </c>
      <c r="I58" s="35">
        <v>0.5</v>
      </c>
      <c r="J58" s="291"/>
    </row>
    <row r="59" spans="1:10">
      <c r="A59" s="290"/>
      <c r="B59" s="330"/>
      <c r="C59" s="327"/>
      <c r="D59" s="320"/>
      <c r="E59" s="461"/>
      <c r="F59" s="36"/>
      <c r="G59" s="37">
        <f>G58*E57</f>
        <v>641.48199999999997</v>
      </c>
      <c r="H59" s="37">
        <f>H58*E57</f>
        <v>2565.9279999999999</v>
      </c>
      <c r="I59" s="38">
        <f>I58*E57</f>
        <v>3207.41</v>
      </c>
      <c r="J59" s="291"/>
    </row>
    <row r="60" spans="1:10" ht="14.25" customHeight="1">
      <c r="A60" s="290"/>
      <c r="B60" s="229"/>
      <c r="C60" s="227"/>
      <c r="D60" s="348">
        <f>E60/$E$64</f>
        <v>5.031971390482979E-3</v>
      </c>
      <c r="E60" s="459">
        <f>'planilha de orçamento'!I190</f>
        <v>981.9</v>
      </c>
      <c r="F60" s="51"/>
      <c r="G60" s="92"/>
      <c r="H60" s="52"/>
      <c r="I60" s="39"/>
      <c r="J60" s="291"/>
    </row>
    <row r="61" spans="1:10" ht="21" customHeight="1">
      <c r="A61" s="290"/>
      <c r="B61" s="230">
        <v>17</v>
      </c>
      <c r="C61" s="228" t="s">
        <v>296</v>
      </c>
      <c r="D61" s="490"/>
      <c r="E61" s="460"/>
      <c r="F61" s="34"/>
      <c r="G61" s="34"/>
      <c r="H61" s="34"/>
      <c r="I61" s="45">
        <v>1</v>
      </c>
      <c r="J61" s="291"/>
    </row>
    <row r="62" spans="1:10" ht="13.5" thickBot="1">
      <c r="A62" s="290"/>
      <c r="B62" s="93"/>
      <c r="C62" s="94"/>
      <c r="D62" s="491"/>
      <c r="E62" s="492"/>
      <c r="F62" s="95"/>
      <c r="G62" s="95"/>
      <c r="H62" s="95"/>
      <c r="I62" s="96">
        <f>I61*E60</f>
        <v>981.9</v>
      </c>
      <c r="J62" s="291"/>
    </row>
    <row r="63" spans="1:10" ht="13.5" thickTop="1">
      <c r="A63" s="290"/>
      <c r="B63" s="493" t="s">
        <v>17</v>
      </c>
      <c r="C63" s="494"/>
      <c r="D63" s="53">
        <v>0</v>
      </c>
      <c r="E63" s="53">
        <v>0</v>
      </c>
      <c r="F63" s="37">
        <f>SUM(F14,F20,F23,F26,F29,F32,F35,F38+F17)</f>
        <v>72249.717499999999</v>
      </c>
      <c r="G63" s="37">
        <f>SUM(G59,G56,G53,G47,G41,G14+G44)</f>
        <v>71805.647500000006</v>
      </c>
      <c r="H63" s="37">
        <f>SUM(H59,H56,H53,H50,H14)</f>
        <v>24726.761500000001</v>
      </c>
      <c r="I63" s="37">
        <f>SUM(I62,I59,I56,I53,I50,I14)</f>
        <v>26350.143499999998</v>
      </c>
      <c r="J63" s="291"/>
    </row>
    <row r="64" spans="1:10">
      <c r="A64" s="290"/>
      <c r="B64" s="493" t="s">
        <v>18</v>
      </c>
      <c r="C64" s="494"/>
      <c r="D64" s="54">
        <f>SUM(D12:D63)</f>
        <v>1.0000300000000002</v>
      </c>
      <c r="E64" s="55">
        <f>SUM(E12:E62)</f>
        <v>195132.27</v>
      </c>
      <c r="F64" s="56">
        <f>+F63</f>
        <v>72249.717499999999</v>
      </c>
      <c r="G64" s="56">
        <f>+F64+G63</f>
        <v>144055.36499999999</v>
      </c>
      <c r="H64" s="56">
        <f>+G64+H63</f>
        <v>168782.12649999998</v>
      </c>
      <c r="I64" s="56">
        <f>+H64+I63</f>
        <v>195132.27</v>
      </c>
      <c r="J64" s="291"/>
    </row>
    <row r="65" spans="1:10">
      <c r="A65" s="290"/>
      <c r="B65" s="295"/>
      <c r="C65" s="295"/>
      <c r="D65" s="295"/>
      <c r="E65" s="295"/>
      <c r="F65" s="295"/>
      <c r="G65" s="295"/>
      <c r="H65" s="295"/>
      <c r="I65" s="295"/>
      <c r="J65" s="291"/>
    </row>
    <row r="66" spans="1:10">
      <c r="A66" s="290"/>
      <c r="B66" s="295" t="s">
        <v>19</v>
      </c>
      <c r="C66" s="296"/>
      <c r="D66" s="296"/>
      <c r="E66" s="296"/>
      <c r="F66" s="295"/>
      <c r="G66" s="295"/>
      <c r="H66" s="295"/>
      <c r="I66" s="295"/>
      <c r="J66" s="291"/>
    </row>
    <row r="67" spans="1:10">
      <c r="A67" s="290"/>
      <c r="B67" s="295"/>
      <c r="C67" s="295" t="s">
        <v>20</v>
      </c>
      <c r="D67" s="295"/>
      <c r="E67" s="295"/>
      <c r="F67" s="297"/>
      <c r="G67" s="297"/>
      <c r="H67" s="295"/>
      <c r="I67" s="295"/>
      <c r="J67" s="291"/>
    </row>
    <row r="68" spans="1:10">
      <c r="A68" s="290"/>
      <c r="B68" s="25"/>
      <c r="C68" s="25"/>
      <c r="D68" s="25"/>
      <c r="E68" s="25"/>
      <c r="F68" s="25"/>
      <c r="G68" s="25"/>
      <c r="H68" s="25"/>
      <c r="I68" s="25"/>
      <c r="J68" s="291"/>
    </row>
    <row r="69" spans="1:10" ht="13.5" thickBot="1">
      <c r="A69" s="292"/>
      <c r="B69" s="27"/>
      <c r="C69" s="27"/>
      <c r="D69" s="27"/>
      <c r="E69" s="495"/>
      <c r="F69" s="495"/>
      <c r="G69" s="495"/>
      <c r="H69" s="27"/>
      <c r="I69" s="27"/>
      <c r="J69" s="293"/>
    </row>
    <row r="70" spans="1:10">
      <c r="D70" s="25"/>
      <c r="E70" s="487"/>
      <c r="F70" s="487"/>
      <c r="G70" s="487"/>
      <c r="H70" s="25"/>
    </row>
    <row r="71" spans="1:10">
      <c r="E71" s="489"/>
      <c r="F71" s="489"/>
      <c r="G71" s="489"/>
    </row>
  </sheetData>
  <mergeCells count="96">
    <mergeCell ref="C4:I5"/>
    <mergeCell ref="C7:I7"/>
    <mergeCell ref="C6:I6"/>
    <mergeCell ref="E71:G71"/>
    <mergeCell ref="D60:D62"/>
    <mergeCell ref="E60:E62"/>
    <mergeCell ref="B63:C63"/>
    <mergeCell ref="B64:C64"/>
    <mergeCell ref="E69:G69"/>
    <mergeCell ref="E70:G70"/>
    <mergeCell ref="G27:G29"/>
    <mergeCell ref="H27:H29"/>
    <mergeCell ref="H39:H41"/>
    <mergeCell ref="D30:D32"/>
    <mergeCell ref="E30:E32"/>
    <mergeCell ref="G30:G32"/>
    <mergeCell ref="H30:H32"/>
    <mergeCell ref="D27:D29"/>
    <mergeCell ref="E27:E29"/>
    <mergeCell ref="E39:E41"/>
    <mergeCell ref="D39:D41"/>
    <mergeCell ref="D33:D35"/>
    <mergeCell ref="E33:E35"/>
    <mergeCell ref="G33:G35"/>
    <mergeCell ref="H33:H35"/>
    <mergeCell ref="B21:B23"/>
    <mergeCell ref="C21:C23"/>
    <mergeCell ref="D21:D23"/>
    <mergeCell ref="E21:E23"/>
    <mergeCell ref="B36:B38"/>
    <mergeCell ref="C36:C38"/>
    <mergeCell ref="D36:D38"/>
    <mergeCell ref="E36:E38"/>
    <mergeCell ref="B27:B29"/>
    <mergeCell ref="C27:C29"/>
    <mergeCell ref="D24:D26"/>
    <mergeCell ref="E24:E26"/>
    <mergeCell ref="B30:B32"/>
    <mergeCell ref="C30:C32"/>
    <mergeCell ref="B33:B35"/>
    <mergeCell ref="C33:C35"/>
    <mergeCell ref="G24:G26"/>
    <mergeCell ref="H24:H26"/>
    <mergeCell ref="B2:I3"/>
    <mergeCell ref="B10:B11"/>
    <mergeCell ref="C10:C11"/>
    <mergeCell ref="D10:D11"/>
    <mergeCell ref="F10:F11"/>
    <mergeCell ref="G10:G11"/>
    <mergeCell ref="B8:C8"/>
    <mergeCell ref="B24:B26"/>
    <mergeCell ref="C24:C26"/>
    <mergeCell ref="H8:I8"/>
    <mergeCell ref="H10:H11"/>
    <mergeCell ref="I10:I11"/>
    <mergeCell ref="B18:B20"/>
    <mergeCell ref="C18:C20"/>
    <mergeCell ref="D18:D20"/>
    <mergeCell ref="E18:E20"/>
    <mergeCell ref="B12:B14"/>
    <mergeCell ref="C12:C14"/>
    <mergeCell ref="D12:D14"/>
    <mergeCell ref="E12:E14"/>
    <mergeCell ref="B15:B17"/>
    <mergeCell ref="C15:C17"/>
    <mergeCell ref="D15:D17"/>
    <mergeCell ref="E15:E17"/>
    <mergeCell ref="B39:B41"/>
    <mergeCell ref="C39:C41"/>
    <mergeCell ref="B57:B59"/>
    <mergeCell ref="C57:C59"/>
    <mergeCell ref="D57:D59"/>
    <mergeCell ref="B42:B44"/>
    <mergeCell ref="C42:C44"/>
    <mergeCell ref="D42:D44"/>
    <mergeCell ref="B45:B47"/>
    <mergeCell ref="C45:C47"/>
    <mergeCell ref="D45:D47"/>
    <mergeCell ref="E57:E59"/>
    <mergeCell ref="B54:B56"/>
    <mergeCell ref="C54:C56"/>
    <mergeCell ref="D54:D56"/>
    <mergeCell ref="E54:E56"/>
    <mergeCell ref="E42:E44"/>
    <mergeCell ref="H42:H44"/>
    <mergeCell ref="G48:G50"/>
    <mergeCell ref="D48:D50"/>
    <mergeCell ref="B51:B53"/>
    <mergeCell ref="C51:C53"/>
    <mergeCell ref="D51:D53"/>
    <mergeCell ref="E51:E53"/>
    <mergeCell ref="B48:B50"/>
    <mergeCell ref="C48:C50"/>
    <mergeCell ref="E48:E50"/>
    <mergeCell ref="E45:E47"/>
    <mergeCell ref="H45:H47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topLeftCell="A13" workbookViewId="0">
      <selection activeCell="E33" sqref="E33"/>
    </sheetView>
  </sheetViews>
  <sheetFormatPr defaultRowHeight="12.75"/>
  <cols>
    <col min="1" max="1" width="21.85546875" bestFit="1" customWidth="1"/>
    <col min="2" max="2" width="12.140625" bestFit="1" customWidth="1"/>
    <col min="3" max="3" width="14.140625" bestFit="1" customWidth="1"/>
  </cols>
  <sheetData>
    <row r="1" spans="1:5">
      <c r="A1" t="s">
        <v>205</v>
      </c>
      <c r="B1" t="s">
        <v>206</v>
      </c>
      <c r="C1" t="s">
        <v>207</v>
      </c>
      <c r="D1" t="s">
        <v>232</v>
      </c>
    </row>
    <row r="2" spans="1:5">
      <c r="A2">
        <v>43.63</v>
      </c>
      <c r="B2">
        <v>8.35</v>
      </c>
      <c r="C2">
        <v>8.08</v>
      </c>
      <c r="D2">
        <v>13.12</v>
      </c>
    </row>
    <row r="3" spans="1:5">
      <c r="A3">
        <v>13.21</v>
      </c>
      <c r="B3">
        <v>26.52</v>
      </c>
      <c r="C3">
        <v>1</v>
      </c>
      <c r="D3">
        <v>0.64</v>
      </c>
    </row>
    <row r="4" spans="1:5">
      <c r="A4">
        <v>3.99</v>
      </c>
      <c r="B4">
        <v>8.2100000000000009</v>
      </c>
      <c r="C4">
        <v>0.89</v>
      </c>
      <c r="D4">
        <v>0.48</v>
      </c>
    </row>
    <row r="5" spans="1:5">
      <c r="A5">
        <v>27.54</v>
      </c>
      <c r="B5">
        <v>14.21</v>
      </c>
      <c r="C5">
        <v>0.71</v>
      </c>
      <c r="D5">
        <v>0.16</v>
      </c>
    </row>
    <row r="6" spans="1:5">
      <c r="A6">
        <v>7.48</v>
      </c>
      <c r="B6">
        <v>4.4400000000000004</v>
      </c>
      <c r="C6">
        <v>0.64</v>
      </c>
      <c r="D6">
        <v>1.35</v>
      </c>
    </row>
    <row r="7" spans="1:5">
      <c r="A7">
        <v>29.16</v>
      </c>
      <c r="B7">
        <v>29.32</v>
      </c>
      <c r="C7">
        <v>18.260000000000002</v>
      </c>
      <c r="D7">
        <v>0.64</v>
      </c>
    </row>
    <row r="8" spans="1:5">
      <c r="A8">
        <v>4.24</v>
      </c>
      <c r="B8">
        <v>4.97</v>
      </c>
      <c r="C8">
        <v>9.65</v>
      </c>
      <c r="D8">
        <v>0.48</v>
      </c>
    </row>
    <row r="9" spans="1:5">
      <c r="A9">
        <v>40.869999999999997</v>
      </c>
      <c r="B9">
        <v>2.66</v>
      </c>
      <c r="C9">
        <v>3.45</v>
      </c>
      <c r="D9">
        <v>0.32</v>
      </c>
    </row>
    <row r="10" spans="1:5">
      <c r="A10">
        <v>44.36</v>
      </c>
      <c r="B10">
        <v>8.4600000000000009</v>
      </c>
      <c r="C10">
        <v>8.85</v>
      </c>
      <c r="D10">
        <v>6.4</v>
      </c>
    </row>
    <row r="11" spans="1:5">
      <c r="A11">
        <v>8.35</v>
      </c>
      <c r="B11">
        <v>8.08</v>
      </c>
      <c r="C11">
        <v>2.44</v>
      </c>
      <c r="D11" s="200">
        <f>SUM(D2:D10)</f>
        <v>23.590000000000003</v>
      </c>
      <c r="E11" s="10" t="s">
        <v>194</v>
      </c>
    </row>
    <row r="12" spans="1:5">
      <c r="A12">
        <v>26.52</v>
      </c>
      <c r="B12">
        <v>1</v>
      </c>
      <c r="C12" s="200">
        <f>SUM(C2:C11)</f>
        <v>53.970000000000006</v>
      </c>
      <c r="D12" t="s">
        <v>194</v>
      </c>
    </row>
    <row r="13" spans="1:5">
      <c r="A13">
        <v>8.2100000000000009</v>
      </c>
      <c r="B13">
        <v>0.89</v>
      </c>
    </row>
    <row r="14" spans="1:5">
      <c r="A14">
        <v>14.21</v>
      </c>
      <c r="B14">
        <v>0.71</v>
      </c>
    </row>
    <row r="15" spans="1:5">
      <c r="A15">
        <v>4.4400000000000004</v>
      </c>
      <c r="B15">
        <v>0.64</v>
      </c>
    </row>
    <row r="16" spans="1:5">
      <c r="A16">
        <v>4.97</v>
      </c>
      <c r="B16">
        <v>18.260000000000002</v>
      </c>
    </row>
    <row r="17" spans="1:3">
      <c r="A17">
        <v>2.66</v>
      </c>
      <c r="B17">
        <v>9.65</v>
      </c>
    </row>
    <row r="18" spans="1:3">
      <c r="A18">
        <v>8.4600000000000009</v>
      </c>
      <c r="B18">
        <v>3.45</v>
      </c>
    </row>
    <row r="19" spans="1:3">
      <c r="A19">
        <v>29.32</v>
      </c>
      <c r="B19">
        <v>8.85</v>
      </c>
    </row>
    <row r="20" spans="1:3">
      <c r="A20">
        <v>8.08</v>
      </c>
      <c r="B20">
        <v>2.44</v>
      </c>
    </row>
    <row r="21" spans="1:3">
      <c r="A21">
        <v>1</v>
      </c>
      <c r="B21" s="201">
        <f>SUM(B2:B20)</f>
        <v>161.10999999999996</v>
      </c>
      <c r="C21" t="s">
        <v>194</v>
      </c>
    </row>
    <row r="22" spans="1:3">
      <c r="A22">
        <v>0.89</v>
      </c>
    </row>
    <row r="23" spans="1:3">
      <c r="A23">
        <v>0.71</v>
      </c>
    </row>
    <row r="24" spans="1:3">
      <c r="A24">
        <v>0.64</v>
      </c>
    </row>
    <row r="25" spans="1:3">
      <c r="A25">
        <v>18.260000000000002</v>
      </c>
    </row>
    <row r="27" spans="1:3">
      <c r="A27">
        <v>3.45</v>
      </c>
    </row>
    <row r="28" spans="1:3">
      <c r="A28">
        <v>8.85</v>
      </c>
    </row>
    <row r="29" spans="1:3">
      <c r="A29">
        <v>2.44</v>
      </c>
    </row>
    <row r="30" spans="1:3">
      <c r="A30">
        <v>16.95</v>
      </c>
    </row>
    <row r="31" spans="1:3">
      <c r="A31">
        <v>1.69</v>
      </c>
    </row>
    <row r="32" spans="1:3">
      <c r="A32">
        <v>13.46</v>
      </c>
    </row>
    <row r="33" spans="1:2">
      <c r="A33">
        <v>2.99</v>
      </c>
    </row>
    <row r="34" spans="1:2">
      <c r="A34">
        <v>10.77</v>
      </c>
    </row>
    <row r="35" spans="1:2">
      <c r="A35">
        <v>1.59</v>
      </c>
    </row>
    <row r="36" spans="1:2">
      <c r="A36">
        <v>5.68</v>
      </c>
    </row>
    <row r="37" spans="1:2">
      <c r="A37" s="200">
        <f>SUM(A2:A36)</f>
        <v>419.06999999999988</v>
      </c>
      <c r="B37" t="s">
        <v>194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0"/>
  <sheetViews>
    <sheetView workbookViewId="0">
      <selection activeCell="S15" sqref="S15"/>
    </sheetView>
  </sheetViews>
  <sheetFormatPr defaultRowHeight="12.75"/>
  <cols>
    <col min="19" max="19" width="11.140625" bestFit="1" customWidth="1"/>
  </cols>
  <sheetData>
    <row r="1" spans="1:20" s="210" customFormat="1">
      <c r="A1" s="208" t="s">
        <v>208</v>
      </c>
      <c r="B1" s="208" t="s">
        <v>209</v>
      </c>
      <c r="C1" s="208" t="s">
        <v>210</v>
      </c>
      <c r="D1" s="208" t="s">
        <v>211</v>
      </c>
      <c r="E1" s="208" t="s">
        <v>212</v>
      </c>
      <c r="F1" s="208" t="s">
        <v>213</v>
      </c>
      <c r="G1" s="208" t="s">
        <v>214</v>
      </c>
      <c r="H1" s="208" t="s">
        <v>215</v>
      </c>
      <c r="I1" s="208" t="s">
        <v>216</v>
      </c>
      <c r="J1" s="208" t="s">
        <v>217</v>
      </c>
      <c r="K1" s="208" t="s">
        <v>218</v>
      </c>
      <c r="L1" s="208" t="s">
        <v>219</v>
      </c>
      <c r="M1" s="208" t="s">
        <v>220</v>
      </c>
      <c r="N1" s="208" t="s">
        <v>221</v>
      </c>
      <c r="O1" s="208" t="s">
        <v>222</v>
      </c>
      <c r="P1" s="208" t="s">
        <v>223</v>
      </c>
      <c r="Q1" s="208" t="s">
        <v>224</v>
      </c>
      <c r="R1" s="208" t="s">
        <v>225</v>
      </c>
      <c r="S1" s="208" t="s">
        <v>226</v>
      </c>
      <c r="T1" s="209"/>
    </row>
    <row r="2" spans="1:20" s="210" customFormat="1">
      <c r="A2" s="211">
        <v>13.44</v>
      </c>
      <c r="B2" s="211">
        <v>10.119999999999999</v>
      </c>
      <c r="C2" s="211">
        <v>9.1</v>
      </c>
      <c r="D2" s="211">
        <v>10.99</v>
      </c>
      <c r="E2" s="211">
        <v>0.6</v>
      </c>
      <c r="F2" s="211">
        <v>0.42</v>
      </c>
      <c r="G2" s="211">
        <v>7.95</v>
      </c>
      <c r="H2" s="211">
        <v>10.99</v>
      </c>
      <c r="I2" s="211">
        <v>10.99</v>
      </c>
      <c r="J2" s="211">
        <v>1.05</v>
      </c>
      <c r="K2" s="211">
        <v>11.42</v>
      </c>
      <c r="L2" s="211">
        <v>11.05</v>
      </c>
      <c r="M2" s="211">
        <v>12.43</v>
      </c>
      <c r="N2" s="211">
        <v>14.21</v>
      </c>
      <c r="O2" s="211">
        <v>0.6</v>
      </c>
      <c r="P2" s="211">
        <v>4.91</v>
      </c>
      <c r="Q2" s="211">
        <v>1.79</v>
      </c>
      <c r="R2" s="211">
        <v>3.52</v>
      </c>
    </row>
    <row r="3" spans="1:20" s="210" customFormat="1">
      <c r="A3" s="211">
        <v>9.35</v>
      </c>
      <c r="B3" s="211">
        <v>11.8</v>
      </c>
      <c r="C3" s="211">
        <v>8.0500000000000007</v>
      </c>
      <c r="D3" s="211">
        <v>7.18</v>
      </c>
      <c r="E3" s="211"/>
      <c r="F3" s="211"/>
      <c r="G3" s="211">
        <v>6.81</v>
      </c>
      <c r="H3" s="211">
        <v>8.9600000000000009</v>
      </c>
      <c r="I3" s="211">
        <v>6.79</v>
      </c>
      <c r="J3" s="211">
        <v>0.72</v>
      </c>
      <c r="K3" s="211">
        <v>9.9700000000000006</v>
      </c>
      <c r="L3" s="211">
        <v>0.43</v>
      </c>
      <c r="M3" s="211">
        <v>6.79</v>
      </c>
      <c r="N3" s="211">
        <v>10.84</v>
      </c>
      <c r="O3" s="211"/>
      <c r="P3" s="211">
        <v>9.02</v>
      </c>
      <c r="Q3" s="211"/>
      <c r="R3" s="211">
        <v>6.24</v>
      </c>
    </row>
    <row r="4" spans="1:20" s="210" customFormat="1">
      <c r="A4" s="211">
        <v>10.119999999999999</v>
      </c>
      <c r="B4" s="211">
        <v>10.119999999999999</v>
      </c>
      <c r="C4" s="211">
        <v>10.99</v>
      </c>
      <c r="D4" s="211">
        <v>10.99</v>
      </c>
      <c r="E4" s="211"/>
      <c r="F4" s="211"/>
      <c r="G4" s="211">
        <v>7.95</v>
      </c>
      <c r="H4" s="211">
        <v>10.99</v>
      </c>
      <c r="I4" s="211">
        <v>10.99</v>
      </c>
      <c r="J4" s="211">
        <v>13.72</v>
      </c>
      <c r="K4" s="211">
        <v>7.52</v>
      </c>
      <c r="L4" s="211">
        <v>3.39</v>
      </c>
      <c r="M4" s="211">
        <v>12.43</v>
      </c>
      <c r="N4" s="211">
        <v>14.21</v>
      </c>
      <c r="O4" s="211"/>
      <c r="P4" s="211">
        <v>3.92</v>
      </c>
      <c r="Q4" s="211"/>
      <c r="R4" s="211">
        <v>2.35</v>
      </c>
    </row>
    <row r="5" spans="1:20" s="210" customFormat="1">
      <c r="A5" s="211">
        <v>1.73</v>
      </c>
      <c r="B5" s="211">
        <v>11.41</v>
      </c>
      <c r="C5" s="211">
        <v>9.5399999999999991</v>
      </c>
      <c r="D5" s="211">
        <v>6.79</v>
      </c>
      <c r="E5" s="211"/>
      <c r="F5" s="211"/>
      <c r="G5" s="211">
        <v>5.92</v>
      </c>
      <c r="H5" s="211">
        <v>9.35</v>
      </c>
      <c r="I5" s="211">
        <v>7.18</v>
      </c>
      <c r="J5" s="211">
        <v>1.44</v>
      </c>
      <c r="K5" s="211">
        <v>9.98</v>
      </c>
      <c r="L5" s="211">
        <v>4.63</v>
      </c>
      <c r="M5" s="211">
        <v>7.18</v>
      </c>
      <c r="N5" s="211">
        <v>14.39</v>
      </c>
      <c r="O5" s="211"/>
      <c r="P5" s="211">
        <v>10.7</v>
      </c>
      <c r="Q5" s="211"/>
      <c r="R5" s="211">
        <v>8.1199999999999992</v>
      </c>
    </row>
    <row r="6" spans="1:20" s="210" customFormat="1">
      <c r="A6" s="211">
        <v>1.08</v>
      </c>
      <c r="B6" s="212">
        <v>0.74</v>
      </c>
      <c r="C6" s="212">
        <v>0.74</v>
      </c>
      <c r="D6" s="212">
        <v>0.74</v>
      </c>
      <c r="E6" s="211"/>
      <c r="F6" s="211"/>
      <c r="G6" s="211">
        <v>0.6</v>
      </c>
      <c r="H6" s="212">
        <v>0.74</v>
      </c>
      <c r="I6" s="212">
        <v>0.74</v>
      </c>
      <c r="J6" s="211">
        <v>8.66</v>
      </c>
      <c r="K6" s="211">
        <v>0.92</v>
      </c>
      <c r="L6" s="211">
        <v>2.95</v>
      </c>
      <c r="M6" s="212">
        <v>0.74</v>
      </c>
      <c r="N6" s="211"/>
      <c r="O6" s="211"/>
      <c r="P6" s="211">
        <v>0.6</v>
      </c>
      <c r="Q6" s="211"/>
      <c r="R6" s="211"/>
    </row>
    <row r="7" spans="1:20" s="210" customFormat="1">
      <c r="A7" s="211">
        <v>1.23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>
        <v>0.47</v>
      </c>
      <c r="M7" s="212">
        <v>1.6</v>
      </c>
      <c r="N7" s="211"/>
      <c r="O7" s="211"/>
      <c r="P7" s="211"/>
      <c r="Q7" s="211"/>
      <c r="R7" s="211"/>
    </row>
    <row r="8" spans="1:20" s="210" customFormat="1">
      <c r="A8" s="211">
        <v>7.01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>
        <v>2.14</v>
      </c>
      <c r="M8" s="211"/>
      <c r="N8" s="211"/>
      <c r="O8" s="211"/>
      <c r="P8" s="211"/>
      <c r="Q8" s="211"/>
      <c r="R8" s="211"/>
    </row>
    <row r="9" spans="1:20" s="210" customFormat="1">
      <c r="A9" s="212">
        <v>0.74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>
        <v>3.22</v>
      </c>
      <c r="M9" s="211"/>
      <c r="N9" s="211"/>
      <c r="O9" s="211"/>
      <c r="P9" s="211"/>
      <c r="Q9" s="211"/>
      <c r="R9" s="211"/>
    </row>
    <row r="10" spans="1:20" s="210" customForma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>
        <v>3.61</v>
      </c>
      <c r="M10" s="211"/>
      <c r="N10" s="211"/>
      <c r="O10" s="211"/>
      <c r="P10" s="211"/>
      <c r="Q10" s="211"/>
      <c r="R10" s="211"/>
    </row>
    <row r="11" spans="1:20" s="210" customForma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>
        <v>2.17</v>
      </c>
      <c r="M11" s="211"/>
      <c r="N11" s="211"/>
      <c r="O11" s="211"/>
      <c r="P11" s="211"/>
      <c r="Q11" s="211"/>
      <c r="R11" s="211"/>
    </row>
    <row r="12" spans="1:20" s="210" customFormat="1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>
        <v>6.64</v>
      </c>
      <c r="M12" s="211"/>
      <c r="N12" s="211"/>
      <c r="O12" s="211"/>
      <c r="P12" s="211"/>
      <c r="Q12" s="211"/>
      <c r="R12" s="211"/>
    </row>
    <row r="13" spans="1:20" s="210" customFormat="1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>
        <v>19.71</v>
      </c>
      <c r="M13" s="211"/>
      <c r="N13" s="211"/>
      <c r="O13" s="211"/>
      <c r="P13" s="211"/>
      <c r="Q13" s="211"/>
      <c r="R13" s="211"/>
    </row>
    <row r="14" spans="1:20" s="210" customFormat="1"/>
    <row r="15" spans="1:20" s="210" customFormat="1">
      <c r="A15" s="213">
        <f t="shared" ref="A15:K15" si="0">SUM(A2:A13)</f>
        <v>44.699999999999989</v>
      </c>
      <c r="B15" s="213">
        <f t="shared" si="0"/>
        <v>44.190000000000005</v>
      </c>
      <c r="C15" s="213">
        <f t="shared" si="0"/>
        <v>38.42</v>
      </c>
      <c r="D15" s="213">
        <f t="shared" si="0"/>
        <v>36.690000000000005</v>
      </c>
      <c r="E15" s="213">
        <f t="shared" si="0"/>
        <v>0.6</v>
      </c>
      <c r="F15" s="213">
        <f t="shared" si="0"/>
        <v>0.42</v>
      </c>
      <c r="G15" s="213">
        <f t="shared" si="0"/>
        <v>29.230000000000004</v>
      </c>
      <c r="H15" s="213">
        <f t="shared" si="0"/>
        <v>41.030000000000008</v>
      </c>
      <c r="I15" s="213">
        <f t="shared" si="0"/>
        <v>36.690000000000005</v>
      </c>
      <c r="J15" s="213">
        <f t="shared" si="0"/>
        <v>25.59</v>
      </c>
      <c r="K15" s="213">
        <f t="shared" si="0"/>
        <v>39.81</v>
      </c>
      <c r="L15" s="213">
        <f>SUM(L2:L13)</f>
        <v>60.41</v>
      </c>
      <c r="M15" s="213">
        <f t="shared" ref="M15:R15" si="1">SUM(M2:M13)</f>
        <v>41.17</v>
      </c>
      <c r="N15" s="213">
        <f t="shared" si="1"/>
        <v>53.650000000000006</v>
      </c>
      <c r="O15" s="213">
        <f t="shared" si="1"/>
        <v>0.6</v>
      </c>
      <c r="P15" s="213">
        <f t="shared" si="1"/>
        <v>29.150000000000002</v>
      </c>
      <c r="Q15" s="213">
        <f t="shared" si="1"/>
        <v>1.79</v>
      </c>
      <c r="R15" s="213">
        <f t="shared" si="1"/>
        <v>20.229999999999997</v>
      </c>
      <c r="S15" s="213">
        <f>SUM(B15:R15)</f>
        <v>499.67000000000013</v>
      </c>
    </row>
    <row r="18" spans="1:20" s="215" customFormat="1">
      <c r="A18" s="214" t="s">
        <v>227</v>
      </c>
    </row>
    <row r="19" spans="1:20" s="215" customFormat="1">
      <c r="A19" s="214" t="s">
        <v>208</v>
      </c>
      <c r="B19" s="214" t="s">
        <v>209</v>
      </c>
      <c r="C19" s="214" t="s">
        <v>210</v>
      </c>
      <c r="D19" s="214" t="s">
        <v>211</v>
      </c>
      <c r="E19" s="214" t="s">
        <v>212</v>
      </c>
      <c r="F19" s="214" t="s">
        <v>213</v>
      </c>
      <c r="G19" s="214" t="s">
        <v>214</v>
      </c>
      <c r="H19" s="214" t="s">
        <v>215</v>
      </c>
      <c r="I19" s="214" t="s">
        <v>216</v>
      </c>
      <c r="J19" s="214" t="s">
        <v>217</v>
      </c>
      <c r="K19" s="214" t="s">
        <v>218</v>
      </c>
      <c r="L19" s="214" t="s">
        <v>219</v>
      </c>
      <c r="M19" s="214" t="s">
        <v>220</v>
      </c>
      <c r="N19" s="214" t="s">
        <v>221</v>
      </c>
      <c r="O19" s="214" t="s">
        <v>222</v>
      </c>
      <c r="P19" s="214" t="s">
        <v>223</v>
      </c>
      <c r="Q19" s="214" t="s">
        <v>224</v>
      </c>
      <c r="R19" s="214" t="s">
        <v>225</v>
      </c>
      <c r="S19" s="214" t="s">
        <v>228</v>
      </c>
      <c r="T19" s="216"/>
    </row>
    <row r="20" spans="1:20" s="217" customFormat="1">
      <c r="A20" s="217">
        <v>16.18</v>
      </c>
      <c r="B20" s="217">
        <v>16.100000000000001</v>
      </c>
      <c r="C20" s="217">
        <v>12.54</v>
      </c>
      <c r="D20" s="217">
        <v>11.4</v>
      </c>
      <c r="E20" s="217">
        <v>8.0399999999999991</v>
      </c>
      <c r="F20" s="217">
        <v>8.0399999999999991</v>
      </c>
      <c r="G20" s="217">
        <v>7.42</v>
      </c>
      <c r="H20" s="217">
        <v>14.25</v>
      </c>
      <c r="I20" s="217">
        <v>11.4</v>
      </c>
      <c r="J20" s="217">
        <v>5.72</v>
      </c>
      <c r="K20" s="217">
        <v>18.62</v>
      </c>
      <c r="L20" s="217">
        <v>17.559999999999999</v>
      </c>
      <c r="M20" s="217">
        <v>12.9</v>
      </c>
      <c r="N20" s="217">
        <v>27.25</v>
      </c>
      <c r="O20" s="217">
        <v>8.51</v>
      </c>
      <c r="P20" s="217">
        <v>6.29</v>
      </c>
      <c r="Q20" s="217">
        <v>3.97</v>
      </c>
      <c r="R20" s="217">
        <v>8.51</v>
      </c>
      <c r="S20" s="217">
        <f>SUM(A20:R20)</f>
        <v>214.69999999999996</v>
      </c>
    </row>
    <row r="21" spans="1:20" s="215" customFormat="1"/>
    <row r="22" spans="1:20" s="215" customFormat="1">
      <c r="A22" s="215">
        <f>SUM(A20+B20+C20+D20+H20+I20+K20+L20+M20+N20)</f>
        <v>158.20000000000002</v>
      </c>
      <c r="B22" s="215" t="s">
        <v>229</v>
      </c>
    </row>
    <row r="23" spans="1:20" s="215" customFormat="1">
      <c r="A23" s="215">
        <f>SUM(E20+F20+G20+J20+O20+P20+R20)</f>
        <v>52.529999999999994</v>
      </c>
      <c r="B23" s="215" t="s">
        <v>230</v>
      </c>
    </row>
    <row r="24" spans="1:20" s="215" customFormat="1">
      <c r="A24" s="215">
        <v>3.97</v>
      </c>
      <c r="B24" s="215" t="s">
        <v>231</v>
      </c>
    </row>
    <row r="26" spans="1:20" s="219" customFormat="1">
      <c r="A26" s="218" t="s">
        <v>234</v>
      </c>
    </row>
    <row r="27" spans="1:20" s="219" customFormat="1">
      <c r="A27" s="218" t="s">
        <v>208</v>
      </c>
      <c r="B27" s="218" t="s">
        <v>209</v>
      </c>
      <c r="C27" s="218" t="s">
        <v>210</v>
      </c>
      <c r="D27" s="218" t="s">
        <v>211</v>
      </c>
      <c r="E27" s="218" t="s">
        <v>212</v>
      </c>
      <c r="F27" s="218" t="s">
        <v>213</v>
      </c>
      <c r="G27" s="218" t="s">
        <v>214</v>
      </c>
      <c r="H27" s="218" t="s">
        <v>215</v>
      </c>
      <c r="I27" s="218" t="s">
        <v>216</v>
      </c>
      <c r="J27" s="218" t="s">
        <v>217</v>
      </c>
      <c r="K27" s="218" t="s">
        <v>218</v>
      </c>
      <c r="L27" s="218" t="s">
        <v>219</v>
      </c>
      <c r="M27" s="218" t="s">
        <v>220</v>
      </c>
      <c r="N27" s="218" t="s">
        <v>221</v>
      </c>
      <c r="O27" s="218" t="s">
        <v>222</v>
      </c>
      <c r="P27" s="218" t="s">
        <v>223</v>
      </c>
      <c r="Q27" s="218" t="s">
        <v>224</v>
      </c>
      <c r="R27" s="218" t="s">
        <v>225</v>
      </c>
      <c r="S27" s="218" t="s">
        <v>235</v>
      </c>
      <c r="T27" s="220"/>
    </row>
    <row r="28" spans="1:20" s="221" customFormat="1">
      <c r="A28" s="221">
        <v>15.57</v>
      </c>
      <c r="B28" s="221">
        <v>15.4</v>
      </c>
      <c r="C28" s="221">
        <v>13.4</v>
      </c>
      <c r="D28" s="221">
        <v>12.8</v>
      </c>
      <c r="E28" s="221">
        <v>11.62</v>
      </c>
      <c r="F28" s="221">
        <v>11.62</v>
      </c>
      <c r="G28" s="221">
        <v>10.1</v>
      </c>
      <c r="H28" s="221">
        <v>14.3</v>
      </c>
      <c r="I28" s="221">
        <v>12.8</v>
      </c>
      <c r="J28" s="221">
        <v>8.02</v>
      </c>
      <c r="K28" s="221">
        <v>12.75</v>
      </c>
      <c r="L28" s="221">
        <v>21.3</v>
      </c>
      <c r="M28" s="221">
        <v>13.8</v>
      </c>
      <c r="N28" s="221">
        <v>19.579999999999998</v>
      </c>
      <c r="O28" s="221">
        <v>11.23</v>
      </c>
      <c r="P28" s="221">
        <v>10</v>
      </c>
      <c r="Q28" s="221">
        <v>7.01</v>
      </c>
      <c r="R28" s="221">
        <v>7.05</v>
      </c>
      <c r="S28" s="221">
        <f>SUM(A28:R28)</f>
        <v>228.35</v>
      </c>
    </row>
    <row r="30" spans="1:20" s="222" customFormat="1">
      <c r="A30" s="222" t="s">
        <v>237</v>
      </c>
    </row>
    <row r="31" spans="1:20" s="222" customFormat="1">
      <c r="A31" s="223" t="s">
        <v>212</v>
      </c>
      <c r="B31" s="223" t="s">
        <v>213</v>
      </c>
      <c r="C31" s="223" t="s">
        <v>222</v>
      </c>
      <c r="D31" s="223" t="s">
        <v>224</v>
      </c>
      <c r="E31" s="223" t="s">
        <v>225</v>
      </c>
    </row>
    <row r="32" spans="1:20" s="222" customFormat="1">
      <c r="A32" s="226">
        <v>10.26</v>
      </c>
      <c r="B32" s="226">
        <v>6.65</v>
      </c>
      <c r="C32" s="226">
        <v>6.96</v>
      </c>
      <c r="D32" s="226">
        <v>3.9</v>
      </c>
      <c r="E32" s="224">
        <v>3.12</v>
      </c>
    </row>
    <row r="33" spans="1:6" s="222" customFormat="1">
      <c r="A33" s="226">
        <v>7.11</v>
      </c>
      <c r="B33" s="226">
        <v>7.19</v>
      </c>
      <c r="C33" s="226">
        <v>9.02</v>
      </c>
      <c r="D33" s="226">
        <v>5.49</v>
      </c>
      <c r="E33" s="224"/>
    </row>
    <row r="34" spans="1:6" s="222" customFormat="1">
      <c r="A34" s="226">
        <v>6.65</v>
      </c>
      <c r="B34" s="226">
        <v>10.26</v>
      </c>
      <c r="C34" s="226">
        <v>5.65</v>
      </c>
      <c r="D34" s="226">
        <v>6.79</v>
      </c>
      <c r="E34" s="224"/>
    </row>
    <row r="35" spans="1:6" s="222" customFormat="1">
      <c r="A35" s="226">
        <v>2.96</v>
      </c>
      <c r="B35" s="226">
        <v>2.17</v>
      </c>
      <c r="C35" s="226">
        <v>9.02</v>
      </c>
      <c r="D35" s="226">
        <v>2.6</v>
      </c>
      <c r="E35" s="224"/>
    </row>
    <row r="36" spans="1:6" s="222" customFormat="1">
      <c r="A36" s="226">
        <v>3.61</v>
      </c>
      <c r="B36" s="226">
        <v>3.61</v>
      </c>
      <c r="C36" s="226"/>
      <c r="D36" s="226"/>
      <c r="E36" s="224"/>
    </row>
    <row r="37" spans="1:6" s="222" customFormat="1">
      <c r="A37" s="226">
        <v>2.95</v>
      </c>
      <c r="B37" s="226">
        <v>2.96</v>
      </c>
      <c r="C37" s="223"/>
      <c r="D37" s="223"/>
    </row>
    <row r="38" spans="1:6" s="222" customFormat="1">
      <c r="A38" s="224"/>
      <c r="B38" s="224"/>
      <c r="F38" s="223" t="s">
        <v>238</v>
      </c>
    </row>
    <row r="39" spans="1:6" s="222" customFormat="1"/>
    <row r="40" spans="1:6" s="222" customFormat="1">
      <c r="A40" s="225">
        <f t="shared" ref="A40:E40" si="2">SUM(A32:A39)</f>
        <v>33.540000000000006</v>
      </c>
      <c r="B40" s="225">
        <f t="shared" si="2"/>
        <v>32.840000000000003</v>
      </c>
      <c r="C40" s="225">
        <f t="shared" si="2"/>
        <v>30.650000000000002</v>
      </c>
      <c r="D40" s="225">
        <f t="shared" si="2"/>
        <v>18.78</v>
      </c>
      <c r="E40" s="225">
        <f t="shared" si="2"/>
        <v>3.12</v>
      </c>
      <c r="F40" s="225">
        <f>SUM(A40:E40)</f>
        <v>118.93000000000002</v>
      </c>
    </row>
    <row r="41" spans="1:6" s="222" customFormat="1"/>
    <row r="42" spans="1:6" s="222" customFormat="1">
      <c r="A42" s="223" t="s">
        <v>239</v>
      </c>
      <c r="D42" s="223" t="s">
        <v>240</v>
      </c>
    </row>
    <row r="43" spans="1:6" s="222" customFormat="1">
      <c r="A43" s="224">
        <f>A35+A36+A37+B37+B36+B35+D35+D32</f>
        <v>24.759999999999998</v>
      </c>
      <c r="D43" s="224">
        <f>A32+A33+A34+B32+B33+B34+C32+C33+D33+D34+C35+C34</f>
        <v>91.05</v>
      </c>
    </row>
    <row r="44" spans="1:6">
      <c r="A44" s="202"/>
    </row>
    <row r="45" spans="1:6">
      <c r="A45" s="202"/>
      <c r="D45" s="202"/>
    </row>
    <row r="46" spans="1:6">
      <c r="A46" s="202"/>
    </row>
    <row r="47" spans="1:6">
      <c r="A47" s="202"/>
    </row>
    <row r="48" spans="1:6">
      <c r="A48" s="202"/>
    </row>
    <row r="49" spans="1:1">
      <c r="A49" s="202"/>
    </row>
    <row r="50" spans="1:1">
      <c r="A50" s="20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RESUMO</vt:lpstr>
      <vt:lpstr>planilha de orçamento</vt:lpstr>
      <vt:lpstr>COMPOSIÇÃO</vt:lpstr>
      <vt:lpstr>CRON</vt:lpstr>
      <vt:lpstr>Parte externa</vt:lpstr>
      <vt:lpstr>Parte Interna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Engenharia PMSAL</cp:lastModifiedBy>
  <cp:lastPrinted>2018-09-13T12:14:41Z</cp:lastPrinted>
  <dcterms:created xsi:type="dcterms:W3CDTF">1998-04-12T12:31:25Z</dcterms:created>
  <dcterms:modified xsi:type="dcterms:W3CDTF">2018-10-01T11:59:45Z</dcterms:modified>
</cp:coreProperties>
</file>