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META PROJETOS\PREFEITURAS\SANTO ANTÔNIO DO LESTE-MT\E. M. DOMINGOS AZZOLIN\E. M. DOMINGOS AZZOLINI\05_Planilha de Custos e Serviços\PLANILHA\"/>
    </mc:Choice>
  </mc:AlternateContent>
  <xr:revisionPtr revIDLastSave="0" documentId="13_ncr:1_{F1FDE0A5-D4FD-4136-95BF-CF2BB8600EAC}" xr6:coauthVersionLast="47" xr6:coauthVersionMax="47" xr10:uidLastSave="{00000000-0000-0000-0000-000000000000}"/>
  <bookViews>
    <workbookView xWindow="28680" yWindow="-120" windowWidth="29040" windowHeight="15720" tabRatio="873" firstSheet="5" xr2:uid="{00000000-000D-0000-FFFF-FFFF00000000}"/>
  </bookViews>
  <sheets>
    <sheet name="CAPA" sheetId="23" r:id="rId1"/>
    <sheet name="BDI" sheetId="22" r:id="rId2"/>
    <sheet name="RESUMO" sheetId="3" r:id="rId3"/>
    <sheet name="PLANILHA ORÇAMENTARIA" sheetId="1" r:id="rId4"/>
    <sheet name="CRONOGRAMA FÍSICO" sheetId="4" r:id="rId5"/>
    <sheet name="COMPADM" sheetId="2" r:id="rId6"/>
    <sheet name="COMPCOB" sheetId="34" r:id="rId7"/>
    <sheet name="COMPELE" sheetId="30" r:id="rId8"/>
    <sheet name="COMPHID" sheetId="33" r:id="rId9"/>
    <sheet name="COMP-PLAYGROUND" sheetId="29" r:id="rId10"/>
    <sheet name="MEMCALFUND" sheetId="13" r:id="rId11"/>
    <sheet name="MEMCALPINT" sheetId="15" r:id="rId12"/>
    <sheet name="MEMCALALV" sheetId="16" r:id="rId13"/>
    <sheet name="MEMCALCOBERT" sheetId="17" r:id="rId14"/>
    <sheet name="MEMCALESQ" sheetId="18" r:id="rId15"/>
    <sheet name="MEMCALPIS" sheetId="19" r:id="rId16"/>
    <sheet name="QUADRO DE QUANTIDADES" sheetId="26" r:id="rId17"/>
    <sheet name="COTAÇÕES" sheetId="27" r:id="rId18"/>
  </sheets>
  <definedNames>
    <definedName name="_xlnm.Print_Area" localSheetId="1">BDI!$B$2:$F$47</definedName>
    <definedName name="_xlnm.Print_Area" localSheetId="0">CAPA!$A$1:$K$54</definedName>
    <definedName name="_xlnm.Print_Area" localSheetId="5">COMPADM!$A$1:$H$26</definedName>
    <definedName name="_xlnm.Print_Area" localSheetId="6">COMPCOB!$A$1:$F$31</definedName>
    <definedName name="_xlnm.Print_Area" localSheetId="7">COMPELE!$A$1:$F$184</definedName>
    <definedName name="_xlnm.Print_Area" localSheetId="8">COMPHID!$A$1:$F$45</definedName>
    <definedName name="_xlnm.Print_Area" localSheetId="9">'COMP-PLAYGROUND'!$B$1:$H$56</definedName>
    <definedName name="_xlnm.Print_Area" localSheetId="4">'CRONOGRAMA FÍSICO'!$A$1:$U$35</definedName>
    <definedName name="_xlnm.Print_Area" localSheetId="12">MEMCALALV!$A$1:$G$30</definedName>
    <definedName name="_xlnm.Print_Area" localSheetId="13">MEMCALCOBERT!$A$1:$G$85</definedName>
    <definedName name="_xlnm.Print_Area" localSheetId="14">MEMCALESQ!$A$1:$J$43</definedName>
    <definedName name="_xlnm.Print_Area" localSheetId="10">MEMCALFUND!$A$1:$I$67</definedName>
    <definedName name="_xlnm.Print_Area" localSheetId="11">MEMCALPINT!$A$1:$W$66</definedName>
    <definedName name="_xlnm.Print_Area" localSheetId="15">MEMCALPIS!$A$1:$D$118</definedName>
    <definedName name="_xlnm.Print_Area" localSheetId="3">'PLANILHA ORÇAMENTARIA'!$A$1:$J$237</definedName>
    <definedName name="_xlnm.Print_Area" localSheetId="16">'QUADRO DE QUANTIDADES'!$A$1:$E$234</definedName>
    <definedName name="_xlnm.Print_Area" localSheetId="2">RESUMO!$A$1:$D$34</definedName>
    <definedName name="_xlnm.Print_Titles" localSheetId="6">COMPCOB!$1:$7</definedName>
    <definedName name="_xlnm.Print_Titles" localSheetId="7">COMPELE!$1:$7</definedName>
    <definedName name="_xlnm.Print_Titles" localSheetId="8">COMPHID!$1:$7</definedName>
    <definedName name="_xlnm.Print_Titles" localSheetId="9">'COMP-PLAYGROUND'!$1:$7</definedName>
    <definedName name="_xlnm.Print_Titles" localSheetId="13">MEMCALCOBERT!$1:$7</definedName>
    <definedName name="_xlnm.Print_Titles" localSheetId="10">MEMCALFUND!$1:$7</definedName>
    <definedName name="_xlnm.Print_Titles" localSheetId="11">MEMCALPINT!$1:$7</definedName>
    <definedName name="_xlnm.Print_Titles" localSheetId="15">MEMCALPIS!$1:$7</definedName>
    <definedName name="_xlnm.Print_Titles" localSheetId="3">'PLANILHA ORÇAMENTARIA'!$1:$7</definedName>
    <definedName name="_xlnm.Print_Titles" localSheetId="16">'QUADRO DE QUANTIDADES'!$1:$7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4" i="1" l="1"/>
  <c r="H222" i="1"/>
  <c r="H219" i="1"/>
  <c r="H220" i="1"/>
  <c r="H218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144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86" i="1"/>
  <c r="H82" i="1"/>
  <c r="H83" i="1"/>
  <c r="H84" i="1"/>
  <c r="H79" i="1"/>
  <c r="H80" i="1"/>
  <c r="H78" i="1"/>
  <c r="H72" i="1"/>
  <c r="H73" i="1"/>
  <c r="H74" i="1"/>
  <c r="H75" i="1"/>
  <c r="H71" i="1"/>
  <c r="H56" i="1"/>
  <c r="H57" i="1"/>
  <c r="H58" i="1"/>
  <c r="H59" i="1"/>
  <c r="J59" i="1" s="1"/>
  <c r="H60" i="1"/>
  <c r="H61" i="1"/>
  <c r="J61" i="1" s="1"/>
  <c r="H62" i="1"/>
  <c r="H63" i="1"/>
  <c r="H64" i="1"/>
  <c r="H65" i="1"/>
  <c r="J65" i="1" s="1"/>
  <c r="H66" i="1"/>
  <c r="H67" i="1"/>
  <c r="H68" i="1"/>
  <c r="H69" i="1"/>
  <c r="H55" i="1"/>
  <c r="H49" i="1"/>
  <c r="H50" i="1"/>
  <c r="H51" i="1"/>
  <c r="H52" i="1"/>
  <c r="H53" i="1"/>
  <c r="H48" i="1"/>
  <c r="H45" i="1"/>
  <c r="H46" i="1"/>
  <c r="H44" i="1"/>
  <c r="H42" i="1"/>
  <c r="H38" i="1"/>
  <c r="H39" i="1"/>
  <c r="H40" i="1"/>
  <c r="H37" i="1"/>
  <c r="H32" i="1"/>
  <c r="H33" i="1"/>
  <c r="H34" i="1"/>
  <c r="H35" i="1"/>
  <c r="H31" i="1"/>
  <c r="H21" i="1"/>
  <c r="H22" i="1"/>
  <c r="H23" i="1"/>
  <c r="H24" i="1"/>
  <c r="H25" i="1"/>
  <c r="H26" i="1"/>
  <c r="H27" i="1"/>
  <c r="H28" i="1"/>
  <c r="H29" i="1"/>
  <c r="H20" i="1"/>
  <c r="H18" i="1"/>
  <c r="H16" i="1"/>
  <c r="H17" i="1"/>
  <c r="H15" i="1"/>
  <c r="H12" i="1"/>
  <c r="H13" i="1"/>
  <c r="H11" i="1"/>
  <c r="A59" i="26"/>
  <c r="A60" i="26"/>
  <c r="A61" i="26"/>
  <c r="A62" i="26"/>
  <c r="A63" i="26"/>
  <c r="A64" i="26"/>
  <c r="A65" i="26"/>
  <c r="A66" i="26"/>
  <c r="A67" i="26"/>
  <c r="A68" i="26"/>
  <c r="A69" i="26"/>
  <c r="A58" i="26"/>
  <c r="B59" i="26"/>
  <c r="B60" i="26"/>
  <c r="B61" i="26"/>
  <c r="B62" i="26"/>
  <c r="B63" i="26"/>
  <c r="B64" i="26"/>
  <c r="B65" i="26"/>
  <c r="B58" i="26"/>
  <c r="D58" i="26"/>
  <c r="D59" i="26"/>
  <c r="D60" i="26"/>
  <c r="D61" i="26"/>
  <c r="D62" i="26"/>
  <c r="D63" i="26"/>
  <c r="D64" i="26"/>
  <c r="D65" i="26"/>
  <c r="F19" i="22"/>
  <c r="F26" i="22" s="1"/>
  <c r="J64" i="1"/>
  <c r="J63" i="1"/>
  <c r="J62" i="1"/>
  <c r="D60" i="1"/>
  <c r="F13" i="34"/>
  <c r="F14" i="34"/>
  <c r="F15" i="34"/>
  <c r="F16" i="34"/>
  <c r="B17" i="34"/>
  <c r="F28" i="34"/>
  <c r="F27" i="34"/>
  <c r="F26" i="34"/>
  <c r="F25" i="34"/>
  <c r="F24" i="34"/>
  <c r="F12" i="34"/>
  <c r="B5" i="34"/>
  <c r="B4" i="34"/>
  <c r="B3" i="34"/>
  <c r="B2" i="34"/>
  <c r="J58" i="1"/>
  <c r="V12" i="4"/>
  <c r="V13" i="4"/>
  <c r="V14" i="4"/>
  <c r="V15" i="4"/>
  <c r="V16" i="4"/>
  <c r="V18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V10" i="4"/>
  <c r="D140" i="26"/>
  <c r="F140" i="1"/>
  <c r="F29" i="34" l="1"/>
  <c r="E17" i="34" s="1"/>
  <c r="F17" i="34" s="1"/>
  <c r="F18" i="34"/>
  <c r="G60" i="1" s="1"/>
  <c r="J60" i="1" s="1"/>
  <c r="D106" i="1"/>
  <c r="F43" i="33"/>
  <c r="F42" i="33"/>
  <c r="F41" i="33"/>
  <c r="F40" i="33"/>
  <c r="F39" i="33"/>
  <c r="J105" i="1"/>
  <c r="A21" i="26"/>
  <c r="B21" i="26"/>
  <c r="A22" i="26"/>
  <c r="B22" i="26"/>
  <c r="A23" i="26"/>
  <c r="B23" i="26"/>
  <c r="A24" i="26"/>
  <c r="B24" i="26"/>
  <c r="A25" i="26"/>
  <c r="B25" i="26"/>
  <c r="A26" i="26"/>
  <c r="B26" i="26"/>
  <c r="A27" i="26"/>
  <c r="B27" i="26"/>
  <c r="A28" i="26"/>
  <c r="B28" i="26"/>
  <c r="A29" i="26"/>
  <c r="B29" i="26"/>
  <c r="B20" i="26"/>
  <c r="A20" i="26"/>
  <c r="A16" i="26"/>
  <c r="B16" i="26"/>
  <c r="A17" i="26"/>
  <c r="B17" i="26"/>
  <c r="A18" i="26"/>
  <c r="B18" i="26"/>
  <c r="B15" i="26"/>
  <c r="A15" i="26"/>
  <c r="A12" i="26"/>
  <c r="A13" i="26"/>
  <c r="B13" i="26"/>
  <c r="B11" i="26"/>
  <c r="A11" i="26"/>
  <c r="B10" i="26"/>
  <c r="A10" i="26"/>
  <c r="B25" i="3"/>
  <c r="B24" i="3"/>
  <c r="B23" i="3"/>
  <c r="B22" i="3"/>
  <c r="B21" i="3"/>
  <c r="B20" i="3"/>
  <c r="B19" i="3"/>
  <c r="B18" i="3"/>
  <c r="B17" i="3"/>
  <c r="B16" i="3"/>
  <c r="B15" i="3"/>
  <c r="D100" i="1"/>
  <c r="F27" i="33"/>
  <c r="F31" i="33"/>
  <c r="F30" i="33"/>
  <c r="F29" i="33"/>
  <c r="F28" i="33"/>
  <c r="F26" i="33"/>
  <c r="J99" i="1"/>
  <c r="J98" i="1"/>
  <c r="J97" i="1"/>
  <c r="J96" i="1"/>
  <c r="J95" i="1"/>
  <c r="J94" i="1"/>
  <c r="D91" i="1"/>
  <c r="F19" i="33"/>
  <c r="F18" i="33"/>
  <c r="F17" i="33"/>
  <c r="F16" i="33"/>
  <c r="F15" i="33"/>
  <c r="F14" i="33"/>
  <c r="F13" i="33"/>
  <c r="F12" i="33"/>
  <c r="B5" i="33"/>
  <c r="B4" i="33"/>
  <c r="B3" i="33"/>
  <c r="B2" i="33"/>
  <c r="J89" i="1"/>
  <c r="J90" i="1"/>
  <c r="B5" i="26"/>
  <c r="B4" i="26"/>
  <c r="B3" i="26"/>
  <c r="B2" i="26"/>
  <c r="D57" i="26"/>
  <c r="D35" i="26"/>
  <c r="D34" i="26"/>
  <c r="D33" i="26"/>
  <c r="D32" i="26"/>
  <c r="D31" i="26"/>
  <c r="D27" i="26"/>
  <c r="D26" i="26"/>
  <c r="D25" i="26"/>
  <c r="D21" i="26"/>
  <c r="B5" i="30"/>
  <c r="C5" i="29" s="1"/>
  <c r="B4" i="30"/>
  <c r="C4" i="29" s="1"/>
  <c r="B3" i="30"/>
  <c r="C3" i="29" s="1"/>
  <c r="B2" i="30"/>
  <c r="C2" i="29" s="1"/>
  <c r="D216" i="1"/>
  <c r="D214" i="1"/>
  <c r="D213" i="1"/>
  <c r="D212" i="1"/>
  <c r="D211" i="1"/>
  <c r="D202" i="1"/>
  <c r="D201" i="1"/>
  <c r="D200" i="1"/>
  <c r="D199" i="1"/>
  <c r="D198" i="1"/>
  <c r="D189" i="1"/>
  <c r="D188" i="1"/>
  <c r="D187" i="1"/>
  <c r="D186" i="1"/>
  <c r="D153" i="1"/>
  <c r="D148" i="1"/>
  <c r="F12" i="30"/>
  <c r="F13" i="30"/>
  <c r="F14" i="30"/>
  <c r="F21" i="30"/>
  <c r="F22" i="30"/>
  <c r="F23" i="30"/>
  <c r="F30" i="30"/>
  <c r="F31" i="30"/>
  <c r="F32" i="30"/>
  <c r="F39" i="30"/>
  <c r="F40" i="30"/>
  <c r="F41" i="30"/>
  <c r="F42" i="30"/>
  <c r="F43" i="30"/>
  <c r="F50" i="30"/>
  <c r="F51" i="30"/>
  <c r="F52" i="30"/>
  <c r="F53" i="30"/>
  <c r="F60" i="30"/>
  <c r="F61" i="30"/>
  <c r="F62" i="30"/>
  <c r="F69" i="30"/>
  <c r="F70" i="30"/>
  <c r="F71" i="30"/>
  <c r="F78" i="30"/>
  <c r="F79" i="30"/>
  <c r="F80" i="30"/>
  <c r="F81" i="30"/>
  <c r="F88" i="30"/>
  <c r="F89" i="30"/>
  <c r="F90" i="30"/>
  <c r="F91" i="30"/>
  <c r="F98" i="30"/>
  <c r="F99" i="30"/>
  <c r="F100" i="30"/>
  <c r="F101" i="30"/>
  <c r="F108" i="30"/>
  <c r="F109" i="30"/>
  <c r="F110" i="30"/>
  <c r="F111" i="30"/>
  <c r="F118" i="30"/>
  <c r="F119" i="30"/>
  <c r="F120" i="30"/>
  <c r="F121" i="30"/>
  <c r="F128" i="30"/>
  <c r="F129" i="30"/>
  <c r="F130" i="30"/>
  <c r="F131" i="30"/>
  <c r="F138" i="30"/>
  <c r="F139" i="30"/>
  <c r="F140" i="30"/>
  <c r="F141" i="30"/>
  <c r="F148" i="30"/>
  <c r="F149" i="30"/>
  <c r="F150" i="30"/>
  <c r="F157" i="30"/>
  <c r="F158" i="30"/>
  <c r="F159" i="30"/>
  <c r="F160" i="30"/>
  <c r="F161" i="30"/>
  <c r="F168" i="30"/>
  <c r="F169" i="30"/>
  <c r="F170" i="30"/>
  <c r="F171" i="30"/>
  <c r="F172" i="30"/>
  <c r="F179" i="30"/>
  <c r="F180" i="30"/>
  <c r="F181" i="30"/>
  <c r="F182" i="30"/>
  <c r="F183" i="30"/>
  <c r="D210" i="1"/>
  <c r="J209" i="1"/>
  <c r="J208" i="1"/>
  <c r="J207" i="1"/>
  <c r="J206" i="1"/>
  <c r="J205" i="1"/>
  <c r="J204" i="1"/>
  <c r="J203" i="1"/>
  <c r="J197" i="1"/>
  <c r="J196" i="1"/>
  <c r="J195" i="1"/>
  <c r="J194" i="1"/>
  <c r="J193" i="1"/>
  <c r="J192" i="1"/>
  <c r="J191" i="1"/>
  <c r="J190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2" i="1"/>
  <c r="J151" i="1"/>
  <c r="J150" i="1"/>
  <c r="J149" i="1"/>
  <c r="J147" i="1"/>
  <c r="J146" i="1"/>
  <c r="J145" i="1"/>
  <c r="J144" i="1"/>
  <c r="F162" i="30" l="1"/>
  <c r="G211" i="1" s="1"/>
  <c r="J211" i="1" s="1"/>
  <c r="F15" i="30"/>
  <c r="G213" i="1" s="1"/>
  <c r="J213" i="1" s="1"/>
  <c r="F122" i="30"/>
  <c r="G199" i="1" s="1"/>
  <c r="J199" i="1" s="1"/>
  <c r="F44" i="33"/>
  <c r="G106" i="1" s="1"/>
  <c r="J106" i="1" s="1"/>
  <c r="F24" i="30"/>
  <c r="G214" i="1" s="1"/>
  <c r="J214" i="1" s="1"/>
  <c r="F102" i="30"/>
  <c r="G188" i="1" s="1"/>
  <c r="J188" i="1" s="1"/>
  <c r="F63" i="30"/>
  <c r="G148" i="1" s="1"/>
  <c r="J148" i="1" s="1"/>
  <c r="F33" i="30"/>
  <c r="F184" i="30"/>
  <c r="G212" i="1" s="1"/>
  <c r="J212" i="1" s="1"/>
  <c r="F20" i="33"/>
  <c r="G91" i="1" s="1"/>
  <c r="F32" i="33"/>
  <c r="G100" i="1" s="1"/>
  <c r="F151" i="30"/>
  <c r="G202" i="1" s="1"/>
  <c r="J202" i="1" s="1"/>
  <c r="F112" i="30"/>
  <c r="G189" i="1" s="1"/>
  <c r="J189" i="1" s="1"/>
  <c r="F92" i="30"/>
  <c r="G187" i="1" s="1"/>
  <c r="J187" i="1" s="1"/>
  <c r="F72" i="30"/>
  <c r="G153" i="1" s="1"/>
  <c r="J153" i="1" s="1"/>
  <c r="F54" i="30"/>
  <c r="G198" i="1" s="1"/>
  <c r="J198" i="1" s="1"/>
  <c r="F44" i="30"/>
  <c r="F142" i="30"/>
  <c r="G201" i="1" s="1"/>
  <c r="J201" i="1" s="1"/>
  <c r="F173" i="30"/>
  <c r="G210" i="1" s="1"/>
  <c r="J210" i="1" s="1"/>
  <c r="F132" i="30"/>
  <c r="G200" i="1" s="1"/>
  <c r="J200" i="1" s="1"/>
  <c r="F82" i="30"/>
  <c r="G186" i="1" s="1"/>
  <c r="J186" i="1" s="1"/>
  <c r="J219" i="1"/>
  <c r="J220" i="1"/>
  <c r="G21" i="29"/>
  <c r="H21" i="29" s="1"/>
  <c r="G20" i="29"/>
  <c r="H20" i="29" s="1"/>
  <c r="G19" i="29"/>
  <c r="H19" i="29" s="1"/>
  <c r="G18" i="29"/>
  <c r="H18" i="29" s="1"/>
  <c r="G17" i="29"/>
  <c r="H17" i="29" s="1"/>
  <c r="G16" i="29"/>
  <c r="H16" i="29" s="1"/>
  <c r="G15" i="29"/>
  <c r="H15" i="29" s="1"/>
  <c r="E14" i="29"/>
  <c r="H14" i="29" s="1"/>
  <c r="E13" i="29"/>
  <c r="H13" i="29" s="1"/>
  <c r="E12" i="29"/>
  <c r="H12" i="29" s="1"/>
  <c r="H22" i="29" s="1"/>
  <c r="G222" i="1" s="1"/>
  <c r="J222" i="1" s="1"/>
  <c r="C117" i="19"/>
  <c r="F75" i="1" s="1"/>
  <c r="D75" i="26" s="1"/>
  <c r="J221" i="1" l="1"/>
  <c r="C24" i="3" s="1"/>
  <c r="C24" i="4" s="1"/>
  <c r="T24" i="4" s="1"/>
  <c r="G215" i="1"/>
  <c r="J215" i="1" s="1"/>
  <c r="G216" i="1"/>
  <c r="J216" i="1" s="1"/>
  <c r="J75" i="1"/>
  <c r="C104" i="19"/>
  <c r="C103" i="19"/>
  <c r="C108" i="19"/>
  <c r="C109" i="19"/>
  <c r="E110" i="19"/>
  <c r="C110" i="19" s="1"/>
  <c r="E109" i="19"/>
  <c r="E108" i="19"/>
  <c r="E107" i="19"/>
  <c r="C107" i="19" s="1"/>
  <c r="E106" i="19"/>
  <c r="C106" i="19" s="1"/>
  <c r="E105" i="19"/>
  <c r="C105" i="19" s="1"/>
  <c r="E104" i="19"/>
  <c r="E103" i="19"/>
  <c r="E102" i="19"/>
  <c r="C102" i="19" s="1"/>
  <c r="C98" i="19"/>
  <c r="C54" i="19"/>
  <c r="F72" i="1" s="1"/>
  <c r="D72" i="26" s="1"/>
  <c r="C11" i="19"/>
  <c r="F71" i="1" s="1"/>
  <c r="D71" i="26" s="1"/>
  <c r="C84" i="17"/>
  <c r="F69" i="1" s="1"/>
  <c r="D69" i="26" s="1"/>
  <c r="F26" i="17"/>
  <c r="F55" i="1" s="1"/>
  <c r="E26" i="17"/>
  <c r="F68" i="1" s="1"/>
  <c r="D68" i="26" s="1"/>
  <c r="C22" i="17"/>
  <c r="C21" i="17"/>
  <c r="C20" i="17"/>
  <c r="C19" i="17"/>
  <c r="D17" i="17"/>
  <c r="C17" i="17"/>
  <c r="D15" i="17"/>
  <c r="C15" i="17"/>
  <c r="D14" i="17"/>
  <c r="C14" i="17"/>
  <c r="F35" i="1"/>
  <c r="F34" i="1"/>
  <c r="F33" i="1"/>
  <c r="F32" i="1"/>
  <c r="F31" i="1"/>
  <c r="F27" i="1"/>
  <c r="F26" i="1"/>
  <c r="F25" i="1"/>
  <c r="F21" i="1"/>
  <c r="D49" i="13"/>
  <c r="F49" i="13" s="1"/>
  <c r="D48" i="13"/>
  <c r="F48" i="13" s="1"/>
  <c r="D47" i="13"/>
  <c r="F47" i="13" s="1"/>
  <c r="D46" i="13"/>
  <c r="F46" i="13" s="1"/>
  <c r="D45" i="13"/>
  <c r="F45" i="13" s="1"/>
  <c r="F44" i="13"/>
  <c r="F43" i="13"/>
  <c r="G31" i="13"/>
  <c r="F31" i="13"/>
  <c r="I31" i="13" s="1"/>
  <c r="G30" i="13"/>
  <c r="F30" i="13"/>
  <c r="I30" i="13" s="1"/>
  <c r="G29" i="13"/>
  <c r="F29" i="13"/>
  <c r="I29" i="13" s="1"/>
  <c r="G28" i="13"/>
  <c r="F28" i="13"/>
  <c r="I28" i="13" s="1"/>
  <c r="G27" i="13"/>
  <c r="F27" i="13"/>
  <c r="I27" i="13" s="1"/>
  <c r="G26" i="13"/>
  <c r="F26" i="13"/>
  <c r="I26" i="13" s="1"/>
  <c r="G25" i="13"/>
  <c r="F25" i="13"/>
  <c r="I25" i="13" s="1"/>
  <c r="G24" i="13"/>
  <c r="F24" i="13"/>
  <c r="I24" i="13" s="1"/>
  <c r="G23" i="13"/>
  <c r="F23" i="13"/>
  <c r="I23" i="13" s="1"/>
  <c r="G22" i="13"/>
  <c r="F22" i="13"/>
  <c r="I22" i="13" s="1"/>
  <c r="G21" i="13"/>
  <c r="F21" i="13"/>
  <c r="I21" i="13" s="1"/>
  <c r="G20" i="13"/>
  <c r="F20" i="13"/>
  <c r="I20" i="13" s="1"/>
  <c r="G19" i="13"/>
  <c r="G32" i="13" s="1"/>
  <c r="F19" i="13"/>
  <c r="I19" i="13" s="1"/>
  <c r="H13" i="13"/>
  <c r="G13" i="13"/>
  <c r="F13" i="13"/>
  <c r="H12" i="13"/>
  <c r="G12" i="13"/>
  <c r="F12" i="13"/>
  <c r="I12" i="13" s="1"/>
  <c r="H11" i="13"/>
  <c r="G11" i="13"/>
  <c r="F11" i="13"/>
  <c r="I11" i="13" s="1"/>
  <c r="F73" i="1" l="1"/>
  <c r="D73" i="26" s="1"/>
  <c r="H14" i="13"/>
  <c r="C26" i="17"/>
  <c r="F67" i="1" s="1"/>
  <c r="D67" i="26" s="1"/>
  <c r="C111" i="19"/>
  <c r="F74" i="1" s="1"/>
  <c r="D74" i="26" s="1"/>
  <c r="I13" i="13"/>
  <c r="J143" i="1"/>
  <c r="C22" i="3" s="1"/>
  <c r="C22" i="4" s="1"/>
  <c r="H22" i="4" s="1"/>
  <c r="I14" i="13"/>
  <c r="C37" i="13" s="1"/>
  <c r="F56" i="1"/>
  <c r="D56" i="26" s="1"/>
  <c r="D55" i="26"/>
  <c r="D37" i="13"/>
  <c r="F20" i="1"/>
  <c r="D20" i="26" s="1"/>
  <c r="D26" i="17"/>
  <c r="F66" i="1" s="1"/>
  <c r="D66" i="26" s="1"/>
  <c r="F51" i="13"/>
  <c r="D38" i="13"/>
  <c r="G33" i="13"/>
  <c r="F15" i="1" s="1"/>
  <c r="D15" i="26" s="1"/>
  <c r="I32" i="13"/>
  <c r="C38" i="13" s="1"/>
  <c r="J218" i="1"/>
  <c r="H58" i="15"/>
  <c r="V51" i="15"/>
  <c r="S51" i="15"/>
  <c r="P51" i="15"/>
  <c r="T43" i="15"/>
  <c r="M43" i="15"/>
  <c r="M51" i="15"/>
  <c r="J51" i="15"/>
  <c r="G51" i="15"/>
  <c r="J54" i="15"/>
  <c r="J53" i="15"/>
  <c r="J52" i="15"/>
  <c r="G52" i="15"/>
  <c r="K50" i="15"/>
  <c r="K46" i="15"/>
  <c r="M46" i="15" s="1"/>
  <c r="K45" i="15"/>
  <c r="M45" i="15" s="1"/>
  <c r="K43" i="15"/>
  <c r="K42" i="15"/>
  <c r="K41" i="15"/>
  <c r="M41" i="15" s="1"/>
  <c r="K40" i="15"/>
  <c r="M40" i="15" s="1"/>
  <c r="K39" i="15"/>
  <c r="M39" i="15" s="1"/>
  <c r="K38" i="15"/>
  <c r="K35" i="15"/>
  <c r="M35" i="15" s="1"/>
  <c r="K27" i="15"/>
  <c r="M27" i="15" s="1"/>
  <c r="K26" i="15"/>
  <c r="M26" i="15" s="1"/>
  <c r="K25" i="15"/>
  <c r="K24" i="15"/>
  <c r="M24" i="15" s="1"/>
  <c r="K21" i="15"/>
  <c r="K20" i="15"/>
  <c r="M20" i="15" s="1"/>
  <c r="K19" i="15"/>
  <c r="M19" i="15" s="1"/>
  <c r="K18" i="15"/>
  <c r="M18" i="15" s="1"/>
  <c r="K17" i="15"/>
  <c r="M17" i="15" s="1"/>
  <c r="K16" i="15"/>
  <c r="M16" i="15" s="1"/>
  <c r="K15" i="15"/>
  <c r="M15" i="15" s="1"/>
  <c r="K14" i="15"/>
  <c r="M14" i="15" s="1"/>
  <c r="K13" i="15"/>
  <c r="M13" i="15" s="1"/>
  <c r="W58" i="15"/>
  <c r="G64" i="15" s="1"/>
  <c r="F52" i="1" s="1"/>
  <c r="D52" i="26" s="1"/>
  <c r="W56" i="15"/>
  <c r="V54" i="15"/>
  <c r="V53" i="15"/>
  <c r="V52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S54" i="15"/>
  <c r="S53" i="15"/>
  <c r="S52" i="15"/>
  <c r="P54" i="15"/>
  <c r="P53" i="15"/>
  <c r="P52" i="15"/>
  <c r="M54" i="15"/>
  <c r="M53" i="15"/>
  <c r="M52" i="15"/>
  <c r="M50" i="15"/>
  <c r="M49" i="15"/>
  <c r="M48" i="15"/>
  <c r="M47" i="15"/>
  <c r="M44" i="15"/>
  <c r="M42" i="15"/>
  <c r="M38" i="15"/>
  <c r="M37" i="15"/>
  <c r="M36" i="15"/>
  <c r="M34" i="15"/>
  <c r="M33" i="15"/>
  <c r="M32" i="15"/>
  <c r="M31" i="15"/>
  <c r="M30" i="15"/>
  <c r="M29" i="15"/>
  <c r="M28" i="15"/>
  <c r="M25" i="15"/>
  <c r="M23" i="15"/>
  <c r="M22" i="15"/>
  <c r="M21" i="15"/>
  <c r="G54" i="15"/>
  <c r="G53" i="15"/>
  <c r="D13" i="26"/>
  <c r="F13" i="1" s="1"/>
  <c r="G41" i="18"/>
  <c r="G40" i="18"/>
  <c r="G33" i="18"/>
  <c r="G32" i="18"/>
  <c r="J73" i="1" l="1"/>
  <c r="J74" i="1"/>
  <c r="N58" i="15"/>
  <c r="G62" i="15" s="1"/>
  <c r="F50" i="1" s="1"/>
  <c r="D50" i="26" s="1"/>
  <c r="J217" i="1"/>
  <c r="C23" i="3" s="1"/>
  <c r="C23" i="4" s="1"/>
  <c r="T23" i="4" s="1"/>
  <c r="K58" i="15"/>
  <c r="D42" i="26"/>
  <c r="F42" i="1"/>
  <c r="I33" i="13"/>
  <c r="H37" i="13"/>
  <c r="F16" i="1"/>
  <c r="D16" i="26" s="1"/>
  <c r="H38" i="13"/>
  <c r="F17" i="1"/>
  <c r="D17" i="26" s="1"/>
  <c r="T58" i="15"/>
  <c r="G65" i="15"/>
  <c r="F51" i="1" s="1"/>
  <c r="J52" i="1"/>
  <c r="Q58" i="15"/>
  <c r="G60" i="15" s="1"/>
  <c r="F48" i="1" s="1"/>
  <c r="D48" i="26" s="1"/>
  <c r="B14" i="3"/>
  <c r="B13" i="3"/>
  <c r="B12" i="3"/>
  <c r="B11" i="3"/>
  <c r="B10" i="3"/>
  <c r="B10" i="4" s="1"/>
  <c r="G63" i="15" l="1"/>
  <c r="F53" i="1" s="1"/>
  <c r="D53" i="26" s="1"/>
  <c r="H39" i="13"/>
  <c r="F18" i="1" s="1"/>
  <c r="D18" i="26" s="1"/>
  <c r="J51" i="1"/>
  <c r="D51" i="26"/>
  <c r="G34" i="18"/>
  <c r="F84" i="1" s="1"/>
  <c r="D84" i="26" s="1"/>
  <c r="G26" i="18"/>
  <c r="G25" i="18"/>
  <c r="G24" i="18"/>
  <c r="G23" i="18"/>
  <c r="G22" i="18"/>
  <c r="G21" i="18"/>
  <c r="G27" i="18" s="1"/>
  <c r="F80" i="1" s="1"/>
  <c r="D80" i="26" s="1"/>
  <c r="G16" i="18"/>
  <c r="G15" i="18"/>
  <c r="G14" i="18"/>
  <c r="G42" i="18"/>
  <c r="G39" i="18"/>
  <c r="G31" i="18"/>
  <c r="G13" i="18"/>
  <c r="G12" i="18"/>
  <c r="F78" i="1" s="1"/>
  <c r="D78" i="26" s="1"/>
  <c r="G11" i="18"/>
  <c r="F79" i="1" s="1"/>
  <c r="F82" i="1" l="1"/>
  <c r="D82" i="26" s="1"/>
  <c r="G35" i="18"/>
  <c r="D79" i="26"/>
  <c r="J79" i="1"/>
  <c r="G43" i="18"/>
  <c r="G17" i="18"/>
  <c r="E26" i="16"/>
  <c r="E25" i="16"/>
  <c r="E24" i="16"/>
  <c r="E19" i="16"/>
  <c r="E18" i="16"/>
  <c r="E17" i="16"/>
  <c r="E11" i="16"/>
  <c r="E12" i="16"/>
  <c r="E10" i="16"/>
  <c r="J39" i="1"/>
  <c r="E27" i="16" l="1"/>
  <c r="F46" i="1" s="1"/>
  <c r="D46" i="26" s="1"/>
  <c r="E20" i="16"/>
  <c r="F45" i="1" s="1"/>
  <c r="D45" i="26" s="1"/>
  <c r="F83" i="1"/>
  <c r="D83" i="26" s="1"/>
  <c r="E58" i="15"/>
  <c r="G61" i="15" s="1"/>
  <c r="F49" i="1" s="1"/>
  <c r="D49" i="26" s="1"/>
  <c r="E13" i="16"/>
  <c r="F44" i="1" s="1"/>
  <c r="D44" i="26" s="1"/>
  <c r="J83" i="1" l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7" i="1"/>
  <c r="J126" i="1"/>
  <c r="J125" i="1"/>
  <c r="J124" i="1"/>
  <c r="J123" i="1"/>
  <c r="J121" i="1"/>
  <c r="J120" i="1"/>
  <c r="J119" i="1"/>
  <c r="J118" i="1"/>
  <c r="J117" i="1"/>
  <c r="J122" i="1"/>
  <c r="J116" i="1"/>
  <c r="J115" i="1"/>
  <c r="J114" i="1"/>
  <c r="J113" i="1"/>
  <c r="J112" i="1"/>
  <c r="J111" i="1"/>
  <c r="J110" i="1"/>
  <c r="J109" i="1"/>
  <c r="J108" i="1"/>
  <c r="J101" i="1"/>
  <c r="J100" i="1"/>
  <c r="J93" i="1"/>
  <c r="J92" i="1"/>
  <c r="J88" i="1"/>
  <c r="J87" i="1"/>
  <c r="J128" i="1"/>
  <c r="J107" i="1"/>
  <c r="J104" i="1"/>
  <c r="J103" i="1"/>
  <c r="J86" i="1"/>
  <c r="J102" i="1" l="1"/>
  <c r="J85" i="1" s="1"/>
  <c r="C3" i="22" l="1"/>
  <c r="B5" i="19" l="1"/>
  <c r="B4" i="19"/>
  <c r="B3" i="19"/>
  <c r="B2" i="19"/>
  <c r="B5" i="18"/>
  <c r="B4" i="18"/>
  <c r="B3" i="18"/>
  <c r="B2" i="18"/>
  <c r="B5" i="17"/>
  <c r="B4" i="17"/>
  <c r="B3" i="17"/>
  <c r="B2" i="17"/>
  <c r="B5" i="16"/>
  <c r="B4" i="16"/>
  <c r="B3" i="16"/>
  <c r="B2" i="16"/>
  <c r="B5" i="15"/>
  <c r="B4" i="15"/>
  <c r="B3" i="15"/>
  <c r="B2" i="15"/>
  <c r="H23" i="2"/>
  <c r="B5" i="2"/>
  <c r="B4" i="2"/>
  <c r="B3" i="2"/>
  <c r="B2" i="2"/>
  <c r="C21" i="3" l="1"/>
  <c r="C21" i="4" s="1"/>
  <c r="P21" i="4" s="1"/>
  <c r="J40" i="1"/>
  <c r="J34" i="1"/>
  <c r="J28" i="1"/>
  <c r="B2" i="4"/>
  <c r="A21" i="4"/>
  <c r="A20" i="4"/>
  <c r="A19" i="4"/>
  <c r="A18" i="4"/>
  <c r="A17" i="4"/>
  <c r="A16" i="4"/>
  <c r="C4" i="22"/>
  <c r="C5" i="22"/>
  <c r="C6" i="22"/>
  <c r="J69" i="1" l="1"/>
  <c r="J84" i="1"/>
  <c r="J82" i="1"/>
  <c r="J80" i="1"/>
  <c r="J78" i="1"/>
  <c r="J72" i="1"/>
  <c r="J71" i="1"/>
  <c r="J68" i="1"/>
  <c r="J67" i="1"/>
  <c r="J66" i="1"/>
  <c r="J57" i="1"/>
  <c r="J56" i="1"/>
  <c r="J55" i="1"/>
  <c r="J53" i="1"/>
  <c r="J50" i="1"/>
  <c r="J49" i="1"/>
  <c r="J48" i="1"/>
  <c r="J46" i="1"/>
  <c r="J45" i="1"/>
  <c r="J44" i="1"/>
  <c r="J70" i="1" l="1"/>
  <c r="J76" i="1"/>
  <c r="J54" i="1"/>
  <c r="C18" i="3" s="1"/>
  <c r="C18" i="4" s="1"/>
  <c r="L18" i="4" s="1"/>
  <c r="C19" i="3"/>
  <c r="C19" i="4" s="1"/>
  <c r="J47" i="1"/>
  <c r="C17" i="3" s="1"/>
  <c r="C17" i="4" s="1"/>
  <c r="J43" i="1"/>
  <c r="C16" i="3" s="1"/>
  <c r="C16" i="4" s="1"/>
  <c r="H16" i="4" s="1"/>
  <c r="C20" i="3"/>
  <c r="C20" i="4" s="1"/>
  <c r="R20" i="4" s="1"/>
  <c r="J18" i="4" l="1"/>
  <c r="H18" i="4"/>
  <c r="T17" i="4"/>
  <c r="R17" i="4"/>
  <c r="P19" i="4"/>
  <c r="N19" i="4"/>
  <c r="E17" i="4"/>
  <c r="V17" i="4" s="1"/>
  <c r="E20" i="4"/>
  <c r="V20" i="4" s="1"/>
  <c r="E21" i="4"/>
  <c r="V21" i="4" s="1"/>
  <c r="E19" i="4"/>
  <c r="V19" i="4" s="1"/>
  <c r="J27" i="1" l="1"/>
  <c r="D12" i="1"/>
  <c r="B12" i="26" s="1"/>
  <c r="H21" i="2"/>
  <c r="H22" i="2"/>
  <c r="H24" i="2"/>
  <c r="H25" i="2"/>
  <c r="H20" i="2"/>
  <c r="J42" i="1"/>
  <c r="J41" i="1" s="1"/>
  <c r="J35" i="1"/>
  <c r="J33" i="1"/>
  <c r="J32" i="1"/>
  <c r="J31" i="1"/>
  <c r="J29" i="1"/>
  <c r="J26" i="1"/>
  <c r="J25" i="1"/>
  <c r="J24" i="1"/>
  <c r="C15" i="3" l="1"/>
  <c r="C15" i="4" s="1"/>
  <c r="D15" i="4" s="1"/>
  <c r="J30" i="1"/>
  <c r="C13" i="3" s="1"/>
  <c r="C13" i="4" s="1"/>
  <c r="H26" i="2"/>
  <c r="G12" i="1" s="1"/>
  <c r="F13" i="2" l="1"/>
  <c r="H13" i="2" s="1"/>
  <c r="F12" i="2"/>
  <c r="H12" i="2" s="1"/>
  <c r="J13" i="1"/>
  <c r="J12" i="1"/>
  <c r="H14" i="2" l="1"/>
  <c r="G11" i="1" s="1"/>
  <c r="J15" i="1" l="1"/>
  <c r="K11" i="4"/>
  <c r="A28" i="3"/>
  <c r="A25" i="4" l="1"/>
  <c r="A23" i="4"/>
  <c r="A22" i="4"/>
  <c r="A15" i="4"/>
  <c r="A14" i="4"/>
  <c r="A13" i="4"/>
  <c r="A12" i="3"/>
  <c r="A12" i="4" s="1"/>
  <c r="A11" i="3"/>
  <c r="A11" i="4" s="1"/>
  <c r="A10" i="3"/>
  <c r="A10" i="4" s="1"/>
  <c r="A29" i="4" l="1"/>
  <c r="B5" i="4" l="1"/>
  <c r="B4" i="4"/>
  <c r="B3" i="4"/>
  <c r="B5" i="3"/>
  <c r="B5" i="13" s="1"/>
  <c r="B4" i="3"/>
  <c r="B4" i="13" s="1"/>
  <c r="B3" i="3"/>
  <c r="B3" i="13" s="1"/>
  <c r="B2" i="3"/>
  <c r="B2" i="13" s="1"/>
  <c r="B25" i="4" l="1"/>
  <c r="J38" i="1" l="1"/>
  <c r="J37" i="1"/>
  <c r="J36" i="1" l="1"/>
  <c r="C14" i="3" s="1"/>
  <c r="C14" i="4" s="1"/>
  <c r="F14" i="4" s="1"/>
  <c r="J224" i="1" l="1"/>
  <c r="J223" i="1" s="1"/>
  <c r="C25" i="3" l="1"/>
  <c r="C25" i="4" s="1"/>
  <c r="T25" i="4" s="1"/>
  <c r="E24" i="4"/>
  <c r="G24" i="4"/>
  <c r="V24" i="4" l="1"/>
  <c r="J16" i="1"/>
  <c r="J17" i="1"/>
  <c r="J18" i="1"/>
  <c r="J20" i="1"/>
  <c r="J21" i="1"/>
  <c r="J22" i="1"/>
  <c r="J23" i="1"/>
  <c r="J19" i="1" l="1"/>
  <c r="J14" i="1"/>
  <c r="C11" i="3" s="1"/>
  <c r="C11" i="4" s="1"/>
  <c r="E23" i="4"/>
  <c r="G23" i="4"/>
  <c r="V23" i="4" l="1"/>
  <c r="C12" i="3"/>
  <c r="C12" i="4" s="1"/>
  <c r="G25" i="4"/>
  <c r="E25" i="4"/>
  <c r="F13" i="4"/>
  <c r="V25" i="4" l="1"/>
  <c r="D12" i="4"/>
  <c r="G11" i="4"/>
  <c r="I11" i="4"/>
  <c r="V11" i="4" l="1"/>
  <c r="G22" i="4"/>
  <c r="E22" i="4"/>
  <c r="V22" i="4" l="1"/>
  <c r="J11" i="1"/>
  <c r="J10" i="1" s="1"/>
  <c r="J225" i="1" s="1"/>
  <c r="I162" i="1" l="1"/>
  <c r="I152" i="1"/>
  <c r="I144" i="1"/>
  <c r="I203" i="1"/>
  <c r="I146" i="1"/>
  <c r="I181" i="1"/>
  <c r="I209" i="1"/>
  <c r="I204" i="1"/>
  <c r="I167" i="1"/>
  <c r="I194" i="1"/>
  <c r="I175" i="1"/>
  <c r="I195" i="1"/>
  <c r="I157" i="1"/>
  <c r="I196" i="1"/>
  <c r="I173" i="1"/>
  <c r="I164" i="1"/>
  <c r="I158" i="1"/>
  <c r="I184" i="1"/>
  <c r="I160" i="1"/>
  <c r="I192" i="1"/>
  <c r="I183" i="1"/>
  <c r="I174" i="1"/>
  <c r="I197" i="1"/>
  <c r="I177" i="1"/>
  <c r="I147" i="1"/>
  <c r="I166" i="1"/>
  <c r="I149" i="1"/>
  <c r="I205" i="1"/>
  <c r="I155" i="1"/>
  <c r="I145" i="1"/>
  <c r="I159" i="1"/>
  <c r="I161" i="1"/>
  <c r="I150" i="1"/>
  <c r="I176" i="1"/>
  <c r="I169" i="1"/>
  <c r="I185" i="1"/>
  <c r="I171" i="1"/>
  <c r="I163" i="1"/>
  <c r="I154" i="1"/>
  <c r="I190" i="1"/>
  <c r="I165" i="1"/>
  <c r="I172" i="1"/>
  <c r="I207" i="1"/>
  <c r="I193" i="1"/>
  <c r="I179" i="1"/>
  <c r="I191" i="1"/>
  <c r="I151" i="1"/>
  <c r="I206" i="1"/>
  <c r="I178" i="1"/>
  <c r="I180" i="1"/>
  <c r="I156" i="1"/>
  <c r="I170" i="1"/>
  <c r="I208" i="1"/>
  <c r="I168" i="1"/>
  <c r="I182" i="1"/>
  <c r="I199" i="1"/>
  <c r="I189" i="1"/>
  <c r="I211" i="1"/>
  <c r="I212" i="1"/>
  <c r="I198" i="1"/>
  <c r="I213" i="1"/>
  <c r="I201" i="1"/>
  <c r="I202" i="1"/>
  <c r="I188" i="1"/>
  <c r="I200" i="1"/>
  <c r="I187" i="1"/>
  <c r="I148" i="1"/>
  <c r="I214" i="1"/>
  <c r="I210" i="1"/>
  <c r="I153" i="1"/>
  <c r="I186" i="1"/>
  <c r="I216" i="1"/>
  <c r="I215" i="1"/>
  <c r="I64" i="1"/>
  <c r="I65" i="1"/>
  <c r="I62" i="1"/>
  <c r="I63" i="1"/>
  <c r="I59" i="1"/>
  <c r="I61" i="1"/>
  <c r="I58" i="1"/>
  <c r="I60" i="1"/>
  <c r="C10" i="3"/>
  <c r="C10" i="4" s="1"/>
  <c r="D10" i="4" l="1"/>
  <c r="P10" i="4"/>
  <c r="P26" i="4" s="1"/>
  <c r="H10" i="4"/>
  <c r="H26" i="4" s="1"/>
  <c r="N10" i="4"/>
  <c r="N26" i="4" s="1"/>
  <c r="T10" i="4"/>
  <c r="T26" i="4" s="1"/>
  <c r="L10" i="4"/>
  <c r="L26" i="4" s="1"/>
  <c r="F10" i="4"/>
  <c r="F26" i="4" s="1"/>
  <c r="R10" i="4"/>
  <c r="R26" i="4" s="1"/>
  <c r="J10" i="4"/>
  <c r="J26" i="4" s="1"/>
  <c r="I221" i="1"/>
  <c r="I106" i="1"/>
  <c r="I220" i="1"/>
  <c r="I89" i="1"/>
  <c r="I222" i="1"/>
  <c r="I96" i="1"/>
  <c r="I94" i="1"/>
  <c r="I95" i="1"/>
  <c r="I98" i="1"/>
  <c r="I90" i="1"/>
  <c r="I105" i="1"/>
  <c r="I97" i="1"/>
  <c r="I99" i="1"/>
  <c r="I75" i="1"/>
  <c r="I219" i="1"/>
  <c r="I73" i="1"/>
  <c r="I74" i="1"/>
  <c r="I218" i="1"/>
  <c r="I217" i="1"/>
  <c r="I51" i="1"/>
  <c r="I52" i="1"/>
  <c r="I83" i="1"/>
  <c r="I79" i="1"/>
  <c r="C26" i="3"/>
  <c r="D15" i="3" l="1"/>
  <c r="D23" i="3"/>
  <c r="D19" i="3"/>
  <c r="D21" i="3"/>
  <c r="D18" i="3"/>
  <c r="D22" i="3"/>
  <c r="D17" i="3"/>
  <c r="D20" i="3"/>
  <c r="D16" i="3"/>
  <c r="D13" i="3"/>
  <c r="D24" i="3"/>
  <c r="D14" i="3"/>
  <c r="D25" i="3"/>
  <c r="D11" i="3"/>
  <c r="D12" i="3"/>
  <c r="D10" i="3"/>
  <c r="I39" i="1"/>
  <c r="I139" i="1"/>
  <c r="I142" i="1"/>
  <c r="I137" i="1"/>
  <c r="I140" i="1"/>
  <c r="I138" i="1"/>
  <c r="I141" i="1"/>
  <c r="I134" i="1"/>
  <c r="I136" i="1"/>
  <c r="I132" i="1"/>
  <c r="I135" i="1"/>
  <c r="I133" i="1"/>
  <c r="I130" i="1"/>
  <c r="I131" i="1"/>
  <c r="I129" i="1"/>
  <c r="I127" i="1"/>
  <c r="I126" i="1"/>
  <c r="I124" i="1"/>
  <c r="I125" i="1"/>
  <c r="I123" i="1"/>
  <c r="I119" i="1"/>
  <c r="I121" i="1"/>
  <c r="I120" i="1"/>
  <c r="I117" i="1"/>
  <c r="I118" i="1"/>
  <c r="I115" i="1"/>
  <c r="I108" i="1"/>
  <c r="I114" i="1"/>
  <c r="I113" i="1"/>
  <c r="I109" i="1"/>
  <c r="I110" i="1"/>
  <c r="I112" i="1"/>
  <c r="I122" i="1"/>
  <c r="I116" i="1"/>
  <c r="I111" i="1"/>
  <c r="I101" i="1"/>
  <c r="I88" i="1"/>
  <c r="I102" i="1"/>
  <c r="I93" i="1"/>
  <c r="I87" i="1"/>
  <c r="I92" i="1"/>
  <c r="I100" i="1"/>
  <c r="I107" i="1"/>
  <c r="I86" i="1"/>
  <c r="I104" i="1"/>
  <c r="I103" i="1"/>
  <c r="I128" i="1"/>
  <c r="I85" i="1"/>
  <c r="I224" i="1"/>
  <c r="I37" i="1"/>
  <c r="I16" i="1"/>
  <c r="I26" i="1"/>
  <c r="I223" i="1"/>
  <c r="I42" i="1"/>
  <c r="I225" i="1"/>
  <c r="I11" i="1"/>
  <c r="I43" i="1"/>
  <c r="I69" i="1"/>
  <c r="I143" i="1"/>
  <c r="I24" i="1"/>
  <c r="I71" i="1"/>
  <c r="I30" i="1"/>
  <c r="I31" i="1"/>
  <c r="I41" i="1"/>
  <c r="I23" i="1"/>
  <c r="I18" i="1"/>
  <c r="I20" i="1"/>
  <c r="I22" i="1"/>
  <c r="I56" i="1"/>
  <c r="I32" i="1"/>
  <c r="I76" i="1"/>
  <c r="I36" i="1"/>
  <c r="I14" i="1"/>
  <c r="I78" i="1"/>
  <c r="I19" i="1"/>
  <c r="I27" i="1"/>
  <c r="I80" i="1"/>
  <c r="I28" i="1"/>
  <c r="I15" i="1"/>
  <c r="I33" i="1"/>
  <c r="I55" i="1"/>
  <c r="I82" i="1"/>
  <c r="I40" i="1"/>
  <c r="I17" i="1"/>
  <c r="I21" i="1"/>
  <c r="I68" i="1"/>
  <c r="I84" i="1"/>
  <c r="I12" i="1"/>
  <c r="I29" i="1"/>
  <c r="I38" i="1"/>
  <c r="I13" i="1"/>
  <c r="I35" i="1"/>
  <c r="I25" i="1"/>
  <c r="I57" i="1"/>
  <c r="I67" i="1"/>
  <c r="I70" i="1"/>
  <c r="I66" i="1"/>
  <c r="I72" i="1"/>
  <c r="I34" i="1"/>
  <c r="I10" i="1"/>
  <c r="I48" i="1"/>
  <c r="I53" i="1"/>
  <c r="I49" i="1"/>
  <c r="I44" i="1"/>
  <c r="I50" i="1"/>
  <c r="I46" i="1"/>
  <c r="I45" i="1"/>
  <c r="I54" i="1"/>
  <c r="I47" i="1"/>
  <c r="F27" i="22"/>
  <c r="D26" i="3" l="1"/>
  <c r="C26" i="4"/>
  <c r="D11" i="4"/>
  <c r="D26" i="4" s="1"/>
  <c r="S26" i="4" l="1"/>
  <c r="Q26" i="4"/>
  <c r="U26" i="4"/>
  <c r="E26" i="4"/>
  <c r="M26" i="4"/>
  <c r="O26" i="4"/>
  <c r="K26" i="4"/>
  <c r="D27" i="4" l="1"/>
  <c r="E27" i="4" s="1"/>
  <c r="F27" i="4" l="1"/>
  <c r="G27" i="4" s="1"/>
  <c r="G26" i="4" l="1"/>
  <c r="I26" i="4"/>
  <c r="H27" i="4"/>
  <c r="I27" i="4" s="1"/>
  <c r="J27" i="4" l="1"/>
  <c r="K27" i="4" l="1"/>
  <c r="L27" i="4"/>
  <c r="M27" i="4" s="1"/>
  <c r="N27" i="4" l="1"/>
  <c r="O27" i="4" s="1"/>
  <c r="P27" i="4" l="1"/>
  <c r="Q27" i="4" s="1"/>
  <c r="R27" i="4" l="1"/>
  <c r="S27" i="4" l="1"/>
  <c r="T27" i="4"/>
  <c r="U27" i="4" s="1"/>
</calcChain>
</file>

<file path=xl/sharedStrings.xml><?xml version="1.0" encoding="utf-8"?>
<sst xmlns="http://schemas.openxmlformats.org/spreadsheetml/2006/main" count="3423" uniqueCount="886">
  <si>
    <t>ORÇAMENTO ORIENTATIVO DA OBRA</t>
  </si>
  <si>
    <t>DADOS</t>
  </si>
  <si>
    <t>CÓDIGO</t>
  </si>
  <si>
    <t>ITEM</t>
  </si>
  <si>
    <t>DESCRIMINAÇÃO</t>
  </si>
  <si>
    <t>UND.</t>
  </si>
  <si>
    <t>QUANTIDADE</t>
  </si>
  <si>
    <t>PREÇO</t>
  </si>
  <si>
    <t>UNITÁRIO (R$)</t>
  </si>
  <si>
    <t>UNITÁRIO+BDI(R$)</t>
  </si>
  <si>
    <t>PESO DO COMPONENTE(%)</t>
  </si>
  <si>
    <t>TOTAL PARCIAL(R$)</t>
  </si>
  <si>
    <t>OBRA:</t>
  </si>
  <si>
    <t>LOCAL:</t>
  </si>
  <si>
    <t>PROP.:</t>
  </si>
  <si>
    <t>DATA:</t>
  </si>
  <si>
    <t>TABELAS DE REFERÊNCIAS</t>
  </si>
  <si>
    <t>BDI - SERVIÇOS</t>
  </si>
  <si>
    <t>1.0</t>
  </si>
  <si>
    <t>SERVIÇOS PRELIMINÁRES</t>
  </si>
  <si>
    <t>SINAPI</t>
  </si>
  <si>
    <t>1.1</t>
  </si>
  <si>
    <t>M2</t>
  </si>
  <si>
    <t>M3</t>
  </si>
  <si>
    <t>M</t>
  </si>
  <si>
    <t>2.0</t>
  </si>
  <si>
    <t>2.1</t>
  </si>
  <si>
    <t>2.2</t>
  </si>
  <si>
    <t>KG</t>
  </si>
  <si>
    <t>COMP01</t>
  </si>
  <si>
    <t>ADMINISTRAÇÃO DE OBRA</t>
  </si>
  <si>
    <t>UND</t>
  </si>
  <si>
    <t>QUANT</t>
  </si>
  <si>
    <t>VALOR UNITÁRIO</t>
  </si>
  <si>
    <t>VALOR TOTAL</t>
  </si>
  <si>
    <t>H</t>
  </si>
  <si>
    <t xml:space="preserve">CUSTO TOTAL = </t>
  </si>
  <si>
    <t>3.0</t>
  </si>
  <si>
    <t>TABELA COMP01</t>
  </si>
  <si>
    <t>3.1</t>
  </si>
  <si>
    <t>3.2</t>
  </si>
  <si>
    <t>3.3</t>
  </si>
  <si>
    <t>3.4</t>
  </si>
  <si>
    <t>4.0</t>
  </si>
  <si>
    <t>5.0</t>
  </si>
  <si>
    <t>6.0</t>
  </si>
  <si>
    <t>6.1</t>
  </si>
  <si>
    <t>7.0</t>
  </si>
  <si>
    <t>8.0</t>
  </si>
  <si>
    <t>9.0</t>
  </si>
  <si>
    <t>9.1</t>
  </si>
  <si>
    <t>10.0</t>
  </si>
  <si>
    <t>11.0</t>
  </si>
  <si>
    <t>12.0</t>
  </si>
  <si>
    <t>Engenheiro Responsável</t>
  </si>
  <si>
    <t>RESUMO DO ORÇAMENTO</t>
  </si>
  <si>
    <t>TOTAL GLOBAL</t>
  </si>
  <si>
    <t>%</t>
  </si>
  <si>
    <t>COTAÇÃO</t>
  </si>
  <si>
    <t>TOTAL GERAL DA OBRA</t>
  </si>
  <si>
    <t>PLANEJAMENTO</t>
  </si>
  <si>
    <t>30 DIAS</t>
  </si>
  <si>
    <t>TOTAL EXECUTADO</t>
  </si>
  <si>
    <t>TOTAL ACUMULADO</t>
  </si>
  <si>
    <t>R$</t>
  </si>
  <si>
    <t>60 DIAS</t>
  </si>
  <si>
    <t>90 DIAS</t>
  </si>
  <si>
    <t>CRONOGRAMA FISICO - FINANCEIRO</t>
  </si>
  <si>
    <t>TABELA COMP02</t>
  </si>
  <si>
    <t>2.3</t>
  </si>
  <si>
    <t>ADMINISTRAÇÃO DA OBRA</t>
  </si>
  <si>
    <t>REATERRO MANUAL APILOADO COM SOQUETE. AF_10/2017</t>
  </si>
  <si>
    <t>PREPARO DE FUNDO DE VALA COM LARGURA MENOR QUE 1,5 M (ACERTO DO SOLO NATURAL). AF_08/2020</t>
  </si>
  <si>
    <t>CONCRETO FCK = 25MPA, TRAÇO 1:2,3:2,7 (EM MASSA SECA DE CIMENTO/ AREIA MÉDIA/ BRITA 1) - PREPARO MECÂNICO COM BETONEIRA 400 L. AF_05/2021</t>
  </si>
  <si>
    <t>LANÇAMENTO COM USO DE BALDES, ADENSAMENTO E ACABAMENTO DE CONCRETO EM ESTRUTURAS. AF_02/2022</t>
  </si>
  <si>
    <t>ARMAÇÃO DE BLOCO, VIGA BALDRAME OU SAPATA UTILIZANDO AÇO CA-50 DE 8 MM KG- MONTAGEM. AF_06/2017</t>
  </si>
  <si>
    <t>ARMAÇÃO DE BLOCO, VIGA BALDRAME OU SAPATA UTILIZANDO AÇO CA-50 DE 10 MM - MONTAGEM. AF_06/2017</t>
  </si>
  <si>
    <t>CONCRETAGEM DE PILARES, FCK = 25 MPA, COM USO DE BALDES - LANÇAMENTO, ADENSAMENTO E ACABAMENTO. AF_02/2022</t>
  </si>
  <si>
    <t>MONTAGEM E DESMONTAGEM DE FÔRMA DE PILARES RETANGULARES E ESTRUTURAS SIMILARES, PÉ-DIREITO SIMPLES, EM CHAPA DE MADEIRA COMPENSADA RESINADA, 4 UTILIZAÇÕES. AF_09/2020</t>
  </si>
  <si>
    <t>3.5</t>
  </si>
  <si>
    <t>5.1</t>
  </si>
  <si>
    <t>10.1</t>
  </si>
  <si>
    <t>11.1</t>
  </si>
  <si>
    <t>11.2</t>
  </si>
  <si>
    <t>COMP04</t>
  </si>
  <si>
    <t>COMP05</t>
  </si>
  <si>
    <t>TABELA COMP04</t>
  </si>
  <si>
    <t>TABELA COMP05</t>
  </si>
  <si>
    <t>FORNECIMENTO E INSTALAÇÃO DE PLACA DE SINALIZAÇÃO DE ENERGIA (20X20CM)</t>
  </si>
  <si>
    <t>12.1</t>
  </si>
  <si>
    <t>ELETRICISTA COM ENCARGOS COMPLEMENTARES</t>
  </si>
  <si>
    <t>SERVENTE COM ENCARGOS COMPLEMENTARES</t>
  </si>
  <si>
    <t>PLACA DE SINALIZACAO DE SEGURANCA CONTRA INCENDIO, FOTOLUMINESCENTE,QUADRADA, *20 X 20* CM, EM PVC *2* MM ANTI-CHAMAS (SIMBOLOS, CORES E PICTOGRAMAS CONFORME NBR 16820)</t>
  </si>
  <si>
    <t>BUCHA DE NYLON SEM ABA S6, COM PARAFUSO DE 4,20 X 40 MM EM ACO ZINCADO COM ROSCA SOBERBA, CABECA CHATA E FENDA PHILLIPS</t>
  </si>
  <si>
    <t>COMP10</t>
  </si>
  <si>
    <t>CAIXA DE INSPEÇÃO PARA ATERRAMENTO, CIRCULAR, EM POLIETILENO, DIÂMETRO INTERNO = 0,3 M. AF_12/2020</t>
  </si>
  <si>
    <t>APLICAÇÃO DE FUNDO SELADOR ACRÍLICO EM PAREDES, UMA DEMÃO. AF_06/2014</t>
  </si>
  <si>
    <t>ARMAÇÃO DE BLOCO, VIGA BALDRAME OU SAPATA UTILIZANDO AÇO CA-50 DE 12,5 MM - MONTAGEM. AF_06/2017</t>
  </si>
  <si>
    <t>ENGENHEIRO CIVIL DE OBRA JUNIOR COM ENCARGOS COMPLEMENTARES</t>
  </si>
  <si>
    <t>MESTRE DE OBRAS COM ENCARGOS COMPLEMENTARES</t>
  </si>
  <si>
    <t>MOVIMENTO DE TERRA - FUNDAÇÃO E VIGAS BALDRAME</t>
  </si>
  <si>
    <t>PILAR</t>
  </si>
  <si>
    <t>VIGAS</t>
  </si>
  <si>
    <t>FUNDAÇÃO  - SAPATA E VIGAS BALDRAME</t>
  </si>
  <si>
    <t>IMPERMEABILIZAÇÃO - VIGAS BALDRAMES</t>
  </si>
  <si>
    <t>5.2</t>
  </si>
  <si>
    <t>5.3</t>
  </si>
  <si>
    <t>5.4</t>
  </si>
  <si>
    <t>INSTALAÇÕES HIDROSSANITÁRIAS</t>
  </si>
  <si>
    <t>INSTALAÇÕES ELÉTRICAS</t>
  </si>
  <si>
    <t>DESCRIÇÃO</t>
  </si>
  <si>
    <t>9.2</t>
  </si>
  <si>
    <t>3.7</t>
  </si>
  <si>
    <t>3.8</t>
  </si>
  <si>
    <t xml:space="preserve">ARRUELA EM ALUMINIO, COM ROSCA, DE 3/4", PARA ELETRODUTO </t>
  </si>
  <si>
    <t xml:space="preserve">BUCHA EM ALUMINIO, COM ROSCA, DE 3/4", PARA ELETRODUTO </t>
  </si>
  <si>
    <t xml:space="preserve">FITA ISOLANTE DE BORRACHA AUTOFUSAO, USO ATE 69 KV (ALTA TENSAO) </t>
  </si>
  <si>
    <t xml:space="preserve">M </t>
  </si>
  <si>
    <t>DISPOSITIVO DPS CLASSE II, 1 POLO, TENSAO MAXIMA DE 275 V, CORRENTE MAXIMA DE *45* KA (TIPO AC)</t>
  </si>
  <si>
    <t>CAIXA RETANGULAR 4" X 2" MÉDIA (1,30 M DO PISO), PVC, INSTALADA EM PAREDE - FORNECIMENTO E INSTALAÇÃO. AF_12/2015</t>
  </si>
  <si>
    <t>CABO DE COBRE FLEXÍVEL ISOLADO, 2,5 MM², ANTI-CHAMA 0,6/1,0 KV, PARA CIRCUITOS TERMINAIS - FORNECIMENTO E INSTALAÇÃO. AF_12/2015</t>
  </si>
  <si>
    <t>CABO DE COBRE FLEXÍVEL ISOLADO, 4 MM², ANTI-CHAMA 0,6/1,0 KV, PARA CIRCUITOS TERMINAIS - FORNECIMENTO E INSTALAÇÃO. AF_12/2015</t>
  </si>
  <si>
    <t>INTERRUPTOR SIMPLES (1 MÓDULO) COM 1 TOMADA DE EMBUTIR 2P+T 10 A, INCLUINDO SUPORTE E PLACA - FORNECIMENTO E INSTALAÇÃO. AF_12/2015</t>
  </si>
  <si>
    <t>INTERRUPTOR SIMPLES (2 MÓDULOS), 10A/250V, INCLUINDO SUPORTE E PLACA - FORNECIMENTO E INSTALAÇÃO. AF_12/2015</t>
  </si>
  <si>
    <t>TOMADA MÉDIA DE EMBUTIR (1 MÓDULO), 2P+T 10 A, INCLUINDO SUPORTE E PLACA - FORNECIMENTO E INSTALAÇÃO. AF_12/2015</t>
  </si>
  <si>
    <t>DISJUNTOR MONOPOLAR TIPO DIN, CORRENTE NOMINAL DE 10A - FORNECIMENTO E INSTALAÇÃO. AF_10/2020</t>
  </si>
  <si>
    <t>ELETRODUTO FLEXÍVEL CORRUGADO, PVC, DN 32 MM (1"), PARA CIRCUITOS TERMINAIS, INSTALADO EM PAREDE - FORNECIMENTO E INSTALAÇÃO. AF_12/2015</t>
  </si>
  <si>
    <t>ELETRODUTO FLEXÍVEL CORRUGADO, PVC, DN 25 MM (3/4"), PARA CIRCUITOS TERMINAIS, INSTALADO EM PAREDE - FORNECIMENTO E INSTALAÇÃO. AF_12/201</t>
  </si>
  <si>
    <t>ELETRODUTO RÍGIDO ROSCÁVEL, PVC, DN 25 MM (3/4"), PARA CIRCUITOS TERMINAIS, INSTALADO EM PAREDE - FORNECIMENTO E INSTALAÇÃO. AF_12/201</t>
  </si>
  <si>
    <t>AUXILIAR DE ELETRICISTA COM ENCARGOS COMPLEMENTARES</t>
  </si>
  <si>
    <t>FORNECIMENTO E INSTALAÇÃO DE DISPOSITIVO DPS CLASSE II, 1 POLO, TENSÃO MAXIMA DE 275 V, CORRENTE MAXIMA DE 45 KA (TIPO AC)</t>
  </si>
  <si>
    <t>ESCAVAÇÃO MANUAL PARA BLOCO DE COROAMENTO OU SAPATA (INCLUINDO ESCAVAÇÃO PARA COLOCAÇÃO DE FÔRMAS). AF_06/2017</t>
  </si>
  <si>
    <t>ESCAVAÇÃO MANUAL DE VALA PARA VIGA BALDRAME (INCLUINDO ESCAVAÇÃO PARA COLOCAÇÃO DE FÔRMAS). AF_06/2017</t>
  </si>
  <si>
    <t>LASTRO DE CONCRETO MAGRO, APLICADO EM BLOCOS DE COROAMENTO OU SAPATAS,
ESPESSURA DE 3 CM. AF_08/2017</t>
  </si>
  <si>
    <t>TABELA COMP06</t>
  </si>
  <si>
    <t>TABELA COMP07</t>
  </si>
  <si>
    <t>TABELA COMP08</t>
  </si>
  <si>
    <t>4.1</t>
  </si>
  <si>
    <t>4.2</t>
  </si>
  <si>
    <t>4.3</t>
  </si>
  <si>
    <t>10.2</t>
  </si>
  <si>
    <t>10.3</t>
  </si>
  <si>
    <t>10.4</t>
  </si>
  <si>
    <t>12.2</t>
  </si>
  <si>
    <t>-</t>
  </si>
  <si>
    <t>9.3</t>
  </si>
  <si>
    <t>7.1</t>
  </si>
  <si>
    <t>8.1</t>
  </si>
  <si>
    <t>8.2</t>
  </si>
  <si>
    <t>8.3</t>
  </si>
  <si>
    <t>COMP06</t>
  </si>
  <si>
    <t>1.2</t>
  </si>
  <si>
    <t>PLACA DE OBRA (PARA CONSTRUCAO CIVIL) EM CHAPA GALVANIZADA *N. 22*, ADESIVADA, DE *2,4 X 1,2* M (SEM POSTES PARA FIXACAO)</t>
  </si>
  <si>
    <t>1.3</t>
  </si>
  <si>
    <t>LOCACAO CONVENCIONAL DE OBRA, UTILIZANDO GABARITO DE TÁBUAS CORRIDAS PONTALETADAS A CADA 2,00M - 2 UTILIZAÇÕES. AF_10/2018</t>
  </si>
  <si>
    <t>HORAS/DIA</t>
  </si>
  <si>
    <t>DIAS/MÊS</t>
  </si>
  <si>
    <t>MÊS</t>
  </si>
  <si>
    <t>TOTAL</t>
  </si>
  <si>
    <t>ESCAVAÇÃO</t>
  </si>
  <si>
    <t>REATERRO</t>
  </si>
  <si>
    <t>CONCRETO</t>
  </si>
  <si>
    <t>OBJETO</t>
  </si>
  <si>
    <t>LARGURA</t>
  </si>
  <si>
    <t>COMPRIMENTO</t>
  </si>
  <si>
    <t>ALTURA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</si>
  <si>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</si>
  <si>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</si>
  <si>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</si>
  <si>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</si>
  <si>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</si>
  <si>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</si>
  <si>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</si>
  <si>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</si>
  <si>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</si>
  <si>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</si>
  <si>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</si>
  <si>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ESCAVAÇÃO - M3</t>
  </si>
  <si>
    <t>SAPATAS - PILARES</t>
  </si>
  <si>
    <t>SAPATA - PILARES</t>
  </si>
  <si>
    <t>FABRICAÇÃO, MONTAGEM E DESMONTAGEM DE FÔRMA PARA SAPATA, EM MADEIRA SERRADA, E=25 MM, 4 UTILIZAÇÕES. AF_06/2017</t>
  </si>
  <si>
    <t>FABRICAÇÃO, MONTAGEM E DESMONTAGEM DE FÔRMA PARA VIGA BALDRAME, EM MADEIRA SERRADA, E=25 MM, 4 UTILIZAÇÕES. AF_06/2017</t>
  </si>
  <si>
    <t>ARMAÇÃO DE PILAR OU VIGA DE ESTRUTURA DE CONCRETO ARMADO EMBUTIDA EM ALVENARIA DE VEDAÇÃO UTILIZANDO AÇO CA-50 DE 8,0 MM - MONTAGEM. AF_06/2022</t>
  </si>
  <si>
    <t>ARMAÇÃO DE PILAR OU VIGA DE ESTRUTURA DE CONCRETO ARMADO EMBUTIDA EM ALVENARIA DE VEDAÇÃO UTILIZANDO AÇO CA-60 DE 5,0 MM - MONTAGEM. AF_06/2022</t>
  </si>
  <si>
    <t>MONTAGEM E DESMONTAGEM DE FÔRMA DE VIGA, ESCORAMENTO COM PONTALETE DE MADEIRA, PÉ-DIREITO SIMPLES, EM MADEIRA SERRADA, 4 UTILIZAÇÕES. AF_09/2020</t>
  </si>
  <si>
    <t>CONCRETAGEM DE VIGAS E LAJES, FCK=25 MPA, PARA QUALQUER TIPO DE LAJE COM BALDES EM EDIFICAÇÃO TÉRREA - LANÇAMENTO, ADENSAMENTO E ACABAMENTO. AF_02/2022</t>
  </si>
  <si>
    <t>IMPERMEABILIZAÇÃO DE SUPERFÍCIE COM EMULSÃO ASFÁLTICA, 2 DEMÃOS AF_06/2018</t>
  </si>
  <si>
    <t>IMPERMEABILIZAÇÃO</t>
  </si>
  <si>
    <t>SARRAFO *2,5 X 7,5* CM EM PINUS, MISTA OU EQUIVALENTE DA REGIAO - BRUTA</t>
  </si>
  <si>
    <t>PREGO DE ACO POLIDO COM CABECA 17 X 21 (2 X 11)</t>
  </si>
  <si>
    <t>PLACA DE OBRA *2,4 X 1,2* M COM POSTE DE MADEIRA PARA FIXAÇÃO. INSTALAÇÃO E FORNECIMENTO.</t>
  </si>
  <si>
    <t>COMP02</t>
  </si>
  <si>
    <t>TOTAL GERAL</t>
  </si>
  <si>
    <t>3.9</t>
  </si>
  <si>
    <t>ARMAÇÃO DE PILAR OU VIGA DE ESTRUTURA DE CONCRETO ARMADO EMBUTIDA EM ALVENARIA DE VEDAÇÃO UTILIZANDO AÇO CA-50 DE 10,0 MM - MONTAGEM. AF_06/2022</t>
  </si>
  <si>
    <t>DISJUNTOR MONOPOLAR TIPO DIN, CORRENTE NOMINAL DE 16A - FORNECIMENTO E INSTALAÇÃO. AF_10/2020</t>
  </si>
  <si>
    <t>ARGAMASSA TRAÇO 1:1:6 (EM VOLUME DE CIMENTO, CAL E AREIA MÉDIA ÚMIDA) PARA EMBOÇO/MASSA ÚNICA/ASSENTAMENTO DE ALVENARIA DE VEDAÇÃO, PREPARO MANUAL.</t>
  </si>
  <si>
    <t>LUMINARIA DE SOBREPOR EM CHAPA DE ACO PARA 2 LAMPADAS FLUORESCENTES DE *18* W, PERFIL COMERCIAL (NAO INCLUI REATOR E LAMPADAS)</t>
  </si>
  <si>
    <t>LUMINÁRIA PARA 2 LAMPADAS LED DE 18W, BASE G13, EM CHAPA DE AÇO, INCLUSO LAMPADA. INSTALAÇÃO E FORNECIMENTO.</t>
  </si>
  <si>
    <t>SISTEMA DE VEDAÇÃO (ALVENARIA)</t>
  </si>
  <si>
    <t>ALVENARIA DE VEDAÇÃO DE BLOCOS CERÂMICOS FURADOS NA HORIZONTAL DE 9X19X19 CM (ESPESSURA 9 CM) E ARGAMASSA DE ASSENTAMENTO COM PREPARO EM BETONEIRA. AF_12/2021</t>
  </si>
  <si>
    <t>CHAPISCO APLICADO EM ALVENARIA (SEM PRESENÇA DE VÃOS) E ESTRUTURAS DE CONCRETO DE FACHADA, COM COLHER DE PEDREIRO. ARGAMASSA TRAÇO 1:3 COM PREPARO EM BETONEIRA 400L. AF_06/2014</t>
  </si>
  <si>
    <t>EMBOÇO OU MASSA ÚNICA EM ARGAMASSA TRAÇO 1:2:8, PREPARO MECÂNICO COM BETONEIRA 400 L, APLICADA MANUALMENTE EM PANOS DE FACHADA COM PRESENÇA DE VÃOS, ESPESSURA DE 25 MM. AF_06/2014</t>
  </si>
  <si>
    <t>PINTURA</t>
  </si>
  <si>
    <t>APLICAÇÃO MANUAL DE MASSA ACRÍLICA EM PAREDES EXTERNAS DE CASAS, DUAS DEMÃOS. AF_05/2017</t>
  </si>
  <si>
    <t>APLICAÇÃO E LIXAMENTO DE MASSA LÁTEX EM PAREDES, DUAS DEMÃOS. AF_06/2014</t>
  </si>
  <si>
    <t>APLICAÇÃO MANUAL DE PINTURA COM TINTA LÁTEX ACRÍLICA EM PAREDES, DUAS DEMÃOS. AF_06/2014</t>
  </si>
  <si>
    <t>SISTEMA DE COBERTURA</t>
  </si>
  <si>
    <t>TELHAMENTO COM TELHA METÁLICA TERMOACÚSTICA E = 30 MM, COM ATÉ 2 ÁGUAS, INCLUSO IÇAMENTO. AF_07/2019</t>
  </si>
  <si>
    <t>RUFO EM CHAPA DE AÇO GALVANIZADO NÚMERO 24, CORTE DE 25 CM, INCLUSO TRANSPORTE VERTICAL. AF_07/2019</t>
  </si>
  <si>
    <t>CALHA EM CHAPA DE AÇO GALVANIZADO NÚMERO 24, DESENVOLVIMENTO DE 50 CM, INCLUSO TRANSPORTE VERTICAL. AF_07/2019</t>
  </si>
  <si>
    <t>RUFO EXTERNO/INTERNO EM CHAPA DE AÇO GALVANIZADO NÚMERO 26, CORTE DE 33 CM, INCLUSO IÇAMENTO. AF_07/2019</t>
  </si>
  <si>
    <t>PISOS E CONTRAPISOS</t>
  </si>
  <si>
    <t>PISO EM GRANILITE, MARMORITE OU GRANITINA, AGREGADO COR PRETO, CINZA, PALHA OU BRANCO, E= *8* MM (INCLUSO EXECUCAO)</t>
  </si>
  <si>
    <t>ESQUADRIAS</t>
  </si>
  <si>
    <t>JANELA</t>
  </si>
  <si>
    <t>JANELA DE ALUMÍNIO DE CORRER COM 2 FOLHAS PARA VIDROS, COM VIDROS, BATENTE, ACABAMENTO COM ACETATO OU BRILHANTE E FERRAGENS. EXCLUSIVE ALIZAR E CONTRAMARCO. FORNECIMENTO E INSTALAÇÃO. AF_12/2019</t>
  </si>
  <si>
    <t>REMOÇÃO DE JANELAS, DE FORMA MANUAL, SEM REAPROVEITAMENTO. AF_12/2017</t>
  </si>
  <si>
    <t>PORTA</t>
  </si>
  <si>
    <t>PORTA EM ALUMÍNIO DE ABRIR TIPO VENEZIANA COM GUARNIÇÃO, FIXAÇÃO COM PARAFUSOS - FORNECIMENTO E INSTALAÇÃO. AF_12/2019</t>
  </si>
  <si>
    <t>PORTA DE CORRER DE ALUMÍNIO, COM DUAS FOLHAS PARA VIDRO, INCLUSO VIDRO LISO INCOLOR, FECHADURA E PUXADOR, SEM ALIZAR. AF_12/2019</t>
  </si>
  <si>
    <t>MASSA EXTERNA</t>
  </si>
  <si>
    <t>LOCAL</t>
  </si>
  <si>
    <t>M²</t>
  </si>
  <si>
    <t>PLATIBANDA</t>
  </si>
  <si>
    <t>DADOS COLETADOS EM PROJETO ARQUITETÔNICO</t>
  </si>
  <si>
    <t>MASSA INTERNA</t>
  </si>
  <si>
    <t>ALVENARIA</t>
  </si>
  <si>
    <t>QTD</t>
  </si>
  <si>
    <t>COBERTURA</t>
  </si>
  <si>
    <t>CALHA (M)</t>
  </si>
  <si>
    <t>RUFO (M)</t>
  </si>
  <si>
    <t>PINGADEIRA (M)</t>
  </si>
  <si>
    <t>TELHADO (M²)</t>
  </si>
  <si>
    <t>AMPLIAÇÃO</t>
  </si>
  <si>
    <t>DADOS COLETADOS EM PROJETOS ARQUITETÔNICOS</t>
  </si>
  <si>
    <t>FORRO EM RÉGUAS DE PVC, FRISADO, PARA AMBIENTES COMERCIAIS, INCLUSIVE ESTRUTURA DE FIXAÇÃO. AF_05/2017_P</t>
  </si>
  <si>
    <t>FORRO</t>
  </si>
  <si>
    <t>CIRCULAÇÃO</t>
  </si>
  <si>
    <t>ESQUADRIAS - JANELAS</t>
  </si>
  <si>
    <t>DADOS COLETADOS NO PROJETO ARQUITETÔNICO</t>
  </si>
  <si>
    <t>REMOÇÃO DE ESQUADRIAS - JANELAS</t>
  </si>
  <si>
    <t>ESQUADRIAS - PORTAS</t>
  </si>
  <si>
    <t>CONTRAPISO EM ARGAMASSA TRAÇO 1:4 (CIMENTO E AREIA), PREPARO MANUAL, APLICADO EM ÁREAS SECAS SOBRE LAJE, NÃO ADERIDO, ACABAMENTO NÃO REFORÇADO, ESPESSURA 4CM. AF_07/2021</t>
  </si>
  <si>
    <t>2.4</t>
  </si>
  <si>
    <t>3.6</t>
  </si>
  <si>
    <t>4.4</t>
  </si>
  <si>
    <t>14.1</t>
  </si>
  <si>
    <t>14.0</t>
  </si>
  <si>
    <t>14.2</t>
  </si>
  <si>
    <t>14.3</t>
  </si>
  <si>
    <t>15.0</t>
  </si>
  <si>
    <t>15.1</t>
  </si>
  <si>
    <t>16.0</t>
  </si>
  <si>
    <t>16.1</t>
  </si>
  <si>
    <t>BDI - BENEFÍCIOS E DESPESAS INDIRETAS</t>
  </si>
  <si>
    <t>DISCRIMINAÇÃO</t>
  </si>
  <si>
    <t>PERCENTUAL</t>
  </si>
  <si>
    <t>(%)</t>
  </si>
  <si>
    <r>
      <t xml:space="preserve">AC </t>
    </r>
    <r>
      <rPr>
        <sz val="11"/>
        <color theme="1"/>
        <rFont val="Calibri"/>
        <family val="2"/>
        <scheme val="minor"/>
      </rPr>
      <t>- Administração Central</t>
    </r>
  </si>
  <si>
    <r>
      <t xml:space="preserve">DF </t>
    </r>
    <r>
      <rPr>
        <sz val="11"/>
        <color theme="1"/>
        <rFont val="Calibri"/>
        <family val="2"/>
        <scheme val="minor"/>
      </rPr>
      <t>- Custos Financeiros</t>
    </r>
  </si>
  <si>
    <r>
      <t xml:space="preserve">R </t>
    </r>
    <r>
      <rPr>
        <sz val="11"/>
        <color theme="1"/>
        <rFont val="Calibri"/>
        <family val="2"/>
        <scheme val="minor"/>
      </rPr>
      <t>- Riscos</t>
    </r>
  </si>
  <si>
    <t>1.4</t>
  </si>
  <si>
    <r>
      <t xml:space="preserve">S + G </t>
    </r>
    <r>
      <rPr>
        <sz val="11"/>
        <color theme="1"/>
        <rFont val="Calibri"/>
        <family val="2"/>
        <scheme val="minor"/>
      </rPr>
      <t>- Seguros + Garantias</t>
    </r>
  </si>
  <si>
    <t>LUCRO</t>
  </si>
  <si>
    <r>
      <rPr>
        <b/>
        <sz val="11"/>
        <color theme="1"/>
        <rFont val="Calibri"/>
        <family val="2"/>
        <scheme val="minor"/>
      </rPr>
      <t xml:space="preserve">L </t>
    </r>
    <r>
      <rPr>
        <sz val="11"/>
        <color theme="1"/>
        <rFont val="Calibri"/>
        <family val="2"/>
        <scheme val="minor"/>
      </rPr>
      <t>- Lucro Operacional</t>
    </r>
  </si>
  <si>
    <t>TRIBUTOS</t>
  </si>
  <si>
    <t>**ISS</t>
  </si>
  <si>
    <t>COFINS</t>
  </si>
  <si>
    <t>PIS</t>
  </si>
  <si>
    <t>Contribuição Previdenciária - Lei nº 12.546/13</t>
  </si>
  <si>
    <t>TAXA DE BDI A SER APLICADA SOBRE O CUSTO DIRETO</t>
  </si>
  <si>
    <t>VALOR DA OBRA</t>
  </si>
  <si>
    <t>Não incidem IRPJ e CSLL na composição de Tributos</t>
  </si>
  <si>
    <t>Cálculo do BDI:</t>
  </si>
  <si>
    <t>*ISS - Imposto sobre Serviços</t>
  </si>
  <si>
    <t>Conforme declarado pela prefeitura municipal</t>
  </si>
  <si>
    <t>_______________________________</t>
  </si>
  <si>
    <t>Engenheiro Civil - Responsável Técnico</t>
  </si>
  <si>
    <t>Matheus Batista da Silva</t>
  </si>
  <si>
    <t>CREA MT - 53224</t>
  </si>
  <si>
    <t>**ISS - Repassado pelo município.Segundo o que determina a lei nº 8.666/93, admite-se fixar o percentual de BDI, desde que seguindo as técnicas da Engenharia e Custos.</t>
  </si>
  <si>
    <t>Segundo o que determina a lei nº 8.666/93, admite-se fixar o percentual de BDI, desde que seguindo as técnicas da Engenharia e Custos.</t>
  </si>
  <si>
    <t>40,00 %     Sobre Mão de Obra</t>
  </si>
  <si>
    <t>5,00%        ISS - Repassado pelo município</t>
  </si>
  <si>
    <t>CREA/MT - 53224/ MT</t>
  </si>
  <si>
    <t>CREA/MT - 53224/MT</t>
  </si>
  <si>
    <t>3.10</t>
  </si>
  <si>
    <t>4.5</t>
  </si>
  <si>
    <t>ARMAÇÃO DE PILAR OU VIGA DE ESTRUTURA DE CONCRETO ARMADO EMBUTIDA EM ALVENARIA DE VEDAÇÃO UTILIZANDO AÇO CA-50 DE 12,5 MM - MONTAGEM. AF_06/2023</t>
  </si>
  <si>
    <t>CONTRAPISO</t>
  </si>
  <si>
    <t>GRANILITE</t>
  </si>
  <si>
    <t xml:space="preserve">SINAPI MT - JULHO/2022 - NÃO DESONERADA </t>
  </si>
  <si>
    <t>ELETRODUTO RÍGIDO ROSCÁVEL, PVC, DN 20 MM (1/2"), PARA CIRCUITOS TERMINAIS, INSTALADO EM PAREDE - FORNECIMENTO E INSTALAÇÃO. AF_12/2015</t>
  </si>
  <si>
    <t>CÓDIGO SINAPI</t>
  </si>
  <si>
    <t>PONTALETE *7,5 X 7,5* CM EM PINUS, MISTA OU EQUIVALENTE DA REGIAO - BRUTA</t>
  </si>
  <si>
    <t>CARPINTEIRO DE FORMAS COM ENCARGOS COMPLEMENTARES</t>
  </si>
  <si>
    <t>COMPOSIÇÃO DE PREÇOS / SERVIÇOS PRELIMINARES</t>
  </si>
  <si>
    <t>COMPOSIÇÃO DE PREÇOS / ELÉTRICA</t>
  </si>
  <si>
    <t xml:space="preserve">SERVIÇOS FINAIS COMPLEMENTARES </t>
  </si>
  <si>
    <t>ALTURA*</t>
  </si>
  <si>
    <t>LASTRO / PREPARO DE FUNDO - M2</t>
  </si>
  <si>
    <t>**ACRÉSCIMO DE 0,20M PARA CADA LADO PARA MONTAGEM DA FORMA</t>
  </si>
  <si>
    <t>**EM M³, CALCULADO COM 0,03 M DE ALTURA</t>
  </si>
  <si>
    <t>LASTRO **</t>
  </si>
  <si>
    <t>MEMORIAL DE CALCULO / PINTURA</t>
  </si>
  <si>
    <t>MEMORIAL DE CALCULO / FUNDAÇÃO  - SAPATA E VIGAS BALDRAME</t>
  </si>
  <si>
    <t>MEMORIAL DE CALCULO / SISTEMA DE COBERTURA</t>
  </si>
  <si>
    <t>MEMORIAL DE CALCULO / PISOS E CONTRAPISOS</t>
  </si>
  <si>
    <t>UNIDADE</t>
  </si>
  <si>
    <t>2,4*1,2</t>
  </si>
  <si>
    <t>CONFORME MEMORIAL DE CALCULO FUNDAÇÃO</t>
  </si>
  <si>
    <t>CONFORME MEMORIAL DE CALCULO SISTEMA DE VEDAÇÃO (ALVENARIA)</t>
  </si>
  <si>
    <t>CONFORME MEMORIAL DE CALCULO PINTURA</t>
  </si>
  <si>
    <t>CONFORME MEMORIAL DE CALCULO COBERTURA</t>
  </si>
  <si>
    <t>CONFORME MEMORIAL DE CALCULO PISOS E CONTRAPISOS</t>
  </si>
  <si>
    <t>CONFORME MEMORIAL DE CALCULO ESQUADRIAS</t>
  </si>
  <si>
    <t>CONFORME PROJETO HIDROSSANITARIO</t>
  </si>
  <si>
    <t>CONFORME PROJETO ELETRICO</t>
  </si>
  <si>
    <t>1 TESOURA A CADA 3 M, SENDO 1 EM CADA PAREDE = 3</t>
  </si>
  <si>
    <t>CABO DE COBRE FLEXÍVEL ISOLADO, 10 MM², ANTI-CHAMA 0,6/1,0 KV, PARA CIRCUITOS TERMINAIS - FORNECIMENTO E INSTALAÇÃO. AF_12/2015</t>
  </si>
  <si>
    <t>DISJUNTOR BIPOLAR TIPO DIN, CORRENTE NOMINAL DE 10A - FORNECIMENTO E INSTALAÇÃO. AF_10/2020</t>
  </si>
  <si>
    <t>ACRÉSCIMO**</t>
  </si>
  <si>
    <t>ABRACADEIRA EM ACO PARA AMARRACAO DE ELETRODUTOS, TIPO D, COM 4" E PARAFUSO DE FIXACAO</t>
  </si>
  <si>
    <t>BUCHA EM ALUMINIO, COM ROSCA, DE 1", PARA ELETRODUTO</t>
  </si>
  <si>
    <t>LUVA PARA ELETRODUTO, PVC, ROSCÁVEL, DN 32 MM (1"), PARA CIRCUITOS TERMINAIS, INSTALADA EM PAREDE - FORNECIMENTO E INSTALAÇÃO. AF_12/2015</t>
  </si>
  <si>
    <t xml:space="preserve"> M</t>
  </si>
  <si>
    <t xml:space="preserve">UN </t>
  </si>
  <si>
    <t>TOMADA BAIXA DE EMBUTIR (1 MÓDULO), 2P+T 10 A, INCLUINDO SUPORTE E PLACA - FORNECIMENTO E INSTALAÇÃO. AF_12/2015</t>
  </si>
  <si>
    <t>LUMINÁRIA TIPO PLAFON RETANGULAR, DE SOBREPOR, COM LED DE 30 W - FORNECIMENTO E INSTALAÇÃO.</t>
  </si>
  <si>
    <t>LUMINARIA LED REFLETOR RETANGULAR BIVOLT, LUZ BRANCA, 30 W</t>
  </si>
  <si>
    <t>TABELA COMP09</t>
  </si>
  <si>
    <t>TABELA COMP10</t>
  </si>
  <si>
    <t>CINTA CIRCULAR EM ACO GALVANIZADO DE 150 MM DE DIAMETRO PARA FIXACAO DE CAIXA MEDICAO, INCLUI PARAFUSOS E PORCAS</t>
  </si>
  <si>
    <t>REGISTRO DE GAVETA BRUTO, LATÃO, ROSCÁVEL, 3/4", COM ACABAMENTO E CANOPLA CROMADOS - FORNECIMENTO E INSTALAÇÃO. AF_08/2021</t>
  </si>
  <si>
    <t>REGISTRO DE GAVETA BRUTO, LATÃO, ROSCÁVEL, 1 1/2", COM ACABAMENTO E CANOPLA CROMADOS - FORNECIMENTO E INSTALAÇÃO. AF_08/2021</t>
  </si>
  <si>
    <t>ENGATE FLEXÍVEL EM PLÁSTICO BRANCO, 1/2 X 30CM - FORNECIMENTO E INSTALAÇÃO. AF_01/20</t>
  </si>
  <si>
    <t xml:space="preserve">ADAPTADOR CURTO COM BOLSA E ROSCA PARA REGISTRO, PVC, SOLDÁVEL, DN 25MM X 3/4 , INSTALADO EM RAMAL OU SUB-RAMAL DE ÁGUA </t>
  </si>
  <si>
    <t>BUCHA DE REDUÇÃO, LONGA, PVC, SOLDÁVEL, DN 50 X 25 MM, INSTALADO EM PRUMADA DE ÁGUA - FORNECIMENTO E INSTALAÇÃO. AF_06/2022</t>
  </si>
  <si>
    <t>JOELHO 90 GRAUS, PVC, SOLDÁVEL, DN 25MM, INSTALADO EM RAMAL OU SUB-RAMAL DE ÁGUA - FORNECIMENTO E INSTALAÇÃO. AF_06/2022</t>
  </si>
  <si>
    <t>JOELHO 90 GRAUS, PVC, SOLDÁVEL, DN 50MM, INSTALADO EM PRUMADA DE ÁGUA</t>
  </si>
  <si>
    <t>TUBO, PVC, SOLDÁVEL, DN 50MM, INSTALADO EM PRUMADA DE ÁGUA</t>
  </si>
  <si>
    <t>TÊ DE REDUÇÃO, PVC, SOLDÁVEL, DN 50MM X 25MM, INSTALADO EM PRUMADA DE ÁGUA</t>
  </si>
  <si>
    <t>,</t>
  </si>
  <si>
    <t>V12</t>
  </si>
  <si>
    <t>V13</t>
  </si>
  <si>
    <t>SALA 01</t>
  </si>
  <si>
    <t>SALA 02</t>
  </si>
  <si>
    <t>SALA 03</t>
  </si>
  <si>
    <t>SALA 04</t>
  </si>
  <si>
    <t>SALA 05</t>
  </si>
  <si>
    <t>SALA 06</t>
  </si>
  <si>
    <t>BANHEIRO FEMININO</t>
  </si>
  <si>
    <t>BANHEIRO MASCULINO</t>
  </si>
  <si>
    <t>MEMORIAL DE CÁLCULO / SISTEMA DE VEDAÇÃO (ALVENARIA)</t>
  </si>
  <si>
    <t>PERÍMETRO (m)</t>
  </si>
  <si>
    <t>ALTURA (m)</t>
  </si>
  <si>
    <t>ÁREA (m²)</t>
  </si>
  <si>
    <t>ÁREA DE ALVENARIA (m²)</t>
  </si>
  <si>
    <t>ÁREA DE CHAPISCO (m²)</t>
  </si>
  <si>
    <t>CHAPISCO (INTERNO E EXTERNO)</t>
  </si>
  <si>
    <t>EXTENSÃO (m)</t>
  </si>
  <si>
    <t>WC PNE</t>
  </si>
  <si>
    <t>SELADOR EXTERNO</t>
  </si>
  <si>
    <t>PINTURA EXTERNA</t>
  </si>
  <si>
    <t>SELADOR INTERNO</t>
  </si>
  <si>
    <t>PINTURA INTERNA</t>
  </si>
  <si>
    <t>SALA DOS PROFESSORES</t>
  </si>
  <si>
    <t>SECRETARIA</t>
  </si>
  <si>
    <t>AMBIENTES A SEREM REFORMADOS</t>
  </si>
  <si>
    <t>REMOÇÃO DE ESQUADRIAS - PORTAS</t>
  </si>
  <si>
    <t>REMOÇÃO DE PORTAS, DE FORMA MANUAL, SEM REAPROVEITAMENTO. AF_12/2017</t>
  </si>
  <si>
    <t>8.4</t>
  </si>
  <si>
    <t>11.3</t>
  </si>
  <si>
    <t>11.4</t>
  </si>
  <si>
    <t>11.5</t>
  </si>
  <si>
    <t>13.0</t>
  </si>
  <si>
    <t>13.1</t>
  </si>
  <si>
    <t>13.2</t>
  </si>
  <si>
    <t>120 DIAS</t>
  </si>
  <si>
    <t>150 DIAS</t>
  </si>
  <si>
    <t>180 DIAS</t>
  </si>
  <si>
    <t>ENGENHEIRO CIVIL DE OBRA JUNIOR COM ENCARGOS COMPLEMENTARES: 2HR*22DIAS*4MESESMESTRE DE OBRAS COM ENCARGOS COMPLEMENTARES: 8HR*22DIAS*4SMESES</t>
  </si>
  <si>
    <t>REMOÇÃO D EPORTAS, DE FORMA MANUAL, SEM REAPROVEITAMENTO. AF_12/2017</t>
  </si>
  <si>
    <t>TRAMA DE AÇO COMPOSTA POR TERÇAS PARA TELHADOS DE ATÉ 2 ÁGUAS PARA TELHA ONDULADA DE FIBROCIMENTO, METÁLICA, PLÁSTICA OU TERMOACÚSTICA, INCLUSO RANSPORTE VERTICAL. AF_07/2019</t>
  </si>
  <si>
    <t>QUADRO DE QUANTIDADES</t>
  </si>
  <si>
    <t>PREFEITURA MUNICIPAL DE SANTO ANTÔNIO DO LESTE - MT</t>
  </si>
  <si>
    <t>ESCOLA MUNICIPAL DOMINGOS AZZONLINI</t>
  </si>
  <si>
    <t>SANTO ANTÔNIO DO LESTE - MT</t>
  </si>
  <si>
    <t>PREFEITURA MUNICIPAL DE SANTO ANTÔNIO DO LESTE-MT</t>
  </si>
  <si>
    <t>PREFEITURA MUNICIPAL DE SANTO DO LESTE - MT</t>
  </si>
  <si>
    <t>JANELA DE ALUMÍNIO TIPO MAXIM-AR, COM VIDROS, BATENTE E FERRAGENS. EXCLUSIVE ALIZAR, ACABAMENTO E C</t>
  </si>
  <si>
    <t>35,1353+3,10+3,10+3,10+3,10</t>
  </si>
  <si>
    <t>VESTIÁRIO MASCULINO</t>
  </si>
  <si>
    <t>VESTIÁRIO FEMININO</t>
  </si>
  <si>
    <t>ÁREA DE EMBOÇO (m²)</t>
  </si>
  <si>
    <t>EMBOÇO/REBOCO (INTERNO E EXTERNO)</t>
  </si>
  <si>
    <t>OBS: PARA O CHAPISCO E O REBOCO, FOI CONSIDERADO DUAS VEZES O QUANTITATIVO DE ALVENARIA, PARA ATENDER AS ÁREAS INTERNAS E EXTERNAS.</t>
  </si>
  <si>
    <t>MEMORIAL DE CALCULO / ESQUADRIAS</t>
  </si>
  <si>
    <t>SALA 07</t>
  </si>
  <si>
    <t>SALA 08</t>
  </si>
  <si>
    <t>SALA 09</t>
  </si>
  <si>
    <t>SALA 10</t>
  </si>
  <si>
    <t>SALA 11</t>
  </si>
  <si>
    <t>SALA 12</t>
  </si>
  <si>
    <t>SALA 13</t>
  </si>
  <si>
    <t>SALA 14</t>
  </si>
  <si>
    <t>SALA 15</t>
  </si>
  <si>
    <t>CANTINA</t>
  </si>
  <si>
    <t>DEPÓSITO</t>
  </si>
  <si>
    <t>WC</t>
  </si>
  <si>
    <t>SALA DENTISTA</t>
  </si>
  <si>
    <t>SALA APOIO</t>
  </si>
  <si>
    <t>COORDENAÇÃO E DIREÇÃO</t>
  </si>
  <si>
    <t>BIBLIOTECA</t>
  </si>
  <si>
    <t>PILARES DAS PASSARELAS, VARANDA E CIRCULAÇÃO</t>
  </si>
  <si>
    <t>REFEITÓRIO</t>
  </si>
  <si>
    <t>COZINHA</t>
  </si>
  <si>
    <t>D.M.L.</t>
  </si>
  <si>
    <t>D.E.</t>
  </si>
  <si>
    <t>D.A.B.</t>
  </si>
  <si>
    <t>VESTIÁRIO FEM</t>
  </si>
  <si>
    <t>VESTIÁRIO MASC</t>
  </si>
  <si>
    <t>PALCO</t>
  </si>
  <si>
    <t>ÁREA À CONSTRUIR E REFORMAR</t>
  </si>
  <si>
    <t>REFORMA</t>
  </si>
  <si>
    <t>CONSTRUÇÃO</t>
  </si>
  <si>
    <t>X</t>
  </si>
  <si>
    <t>SALA DE INFORMÁTICA</t>
  </si>
  <si>
    <t>RAMPAS</t>
  </si>
  <si>
    <t>PINTURA EM PISO</t>
  </si>
  <si>
    <t xml:space="preserve">LIXAMENTO DE MASSA PARA MADEIRA. AF_01/2021 </t>
  </si>
  <si>
    <t>PINTURA DE PISO COM TINTA ACRÍLICA, APLICAÇÃO MANUAL, 2 DEMÃOS, INCLUSO FUNDO PREPARADOR. AF_05/2021</t>
  </si>
  <si>
    <t>TOTAL SELADOR (INTERNO E EXTERNO)</t>
  </si>
  <si>
    <t>TOTAL MASSA ACRÍLICA (EXTERNO)</t>
  </si>
  <si>
    <t>TOTAL MASSA LÁTEX (INTERNO)</t>
  </si>
  <si>
    <t>TOTAL PINTURA (INTERNO E EXTERNO)</t>
  </si>
  <si>
    <t xml:space="preserve">TOTAL PINTURA PARA PISO </t>
  </si>
  <si>
    <t>TOTAL LIXAMENTO DAS PAREDES - ÁREA REFORMADA (INTERNO E EXTERNO)</t>
  </si>
  <si>
    <t>PAISAGISMO</t>
  </si>
  <si>
    <t>S1=S4=S5=S8</t>
  </si>
  <si>
    <t>S2=S3</t>
  </si>
  <si>
    <t>S6=S7</t>
  </si>
  <si>
    <t>**ACRÉSCIMO DE 0,10M PARA CADA LADO PARA MONTAGEM DA FORMA</t>
  </si>
  <si>
    <t>COMPRIMENTO*</t>
  </si>
  <si>
    <t>7,19 **</t>
  </si>
  <si>
    <t>*valores retirados do projeto estrutural</t>
  </si>
  <si>
    <t>** valor retirado da parte de cima das vigas baldrames</t>
  </si>
  <si>
    <t>ARMAÇÃO DE BLOCO, VIGA BALDRAME OU SAPATA UTILIZANDO AÇO CA-50 DE 16 MM - MONTAGEM. AF_06/2017</t>
  </si>
  <si>
    <t>SALA DE AULA</t>
  </si>
  <si>
    <t xml:space="preserve">SALA DE AULA </t>
  </si>
  <si>
    <t>SALA INFORMÁTICA</t>
  </si>
  <si>
    <t>APOIO</t>
  </si>
  <si>
    <t>DAB</t>
  </si>
  <si>
    <t xml:space="preserve">D E </t>
  </si>
  <si>
    <t>DML</t>
  </si>
  <si>
    <t>REFEITORIO</t>
  </si>
  <si>
    <t>PATIO COBERTO</t>
  </si>
  <si>
    <t>PASSARELA</t>
  </si>
  <si>
    <t>PASSARELA 1</t>
  </si>
  <si>
    <t>VARANDA</t>
  </si>
  <si>
    <t>VESTIARIO FEM.</t>
  </si>
  <si>
    <t>VESTIARIO MASC.</t>
  </si>
  <si>
    <t>RAMPA</t>
  </si>
  <si>
    <t>REMOÇÃO E EXECUÇÃO CONTRAPISO</t>
  </si>
  <si>
    <t>PATIO</t>
  </si>
  <si>
    <t>REMOÇÃO GRANILITE</t>
  </si>
  <si>
    <t>CERÂMICA (ÁREAS MOLHADAS)</t>
  </si>
  <si>
    <t>Obs.: para o quantitativo de piso cerâmico, foram considerados os ambientes de áreas molhadas, todo o piso e 2 metros de altura das paredes.</t>
  </si>
  <si>
    <t>REMOÇÃO DE PLACAS E PILARETES DE CONCRETO, DE FORMA MANUAL, SEM REAPROVEITAMENTO. AF_12/</t>
  </si>
  <si>
    <t>12.3</t>
  </si>
  <si>
    <t>12.4</t>
  </si>
  <si>
    <t>REVESTIMENTO CERÂMICO PARA PISO COM PLACAS TIPO ESMALTADA EXTRA DE DIMENSÕES 35X35 CM APLICADA EM AMBIENTES DE ÁREA MAIOR QUE 10 M2. AF_06/2
014</t>
  </si>
  <si>
    <t>LIMPEZA DE SUPERFÍCIE COM JATO DE ALTA PRESSÃO. AF_04/2019</t>
  </si>
  <si>
    <t>UNIDADE:</t>
  </si>
  <si>
    <t xml:space="preserve">CÓDIGO REFERÊNCIA:  </t>
  </si>
  <si>
    <t>REFERÊNCIA</t>
  </si>
  <si>
    <t>COEFICIENTE</t>
  </si>
  <si>
    <t>CUSTO UNITÁRIO</t>
  </si>
  <si>
    <t>CUSTO TOTAL</t>
  </si>
  <si>
    <t>PEDREIRO COM ENCARGOS COMPLEMENTARES</t>
  </si>
  <si>
    <t>MERCADO</t>
  </si>
  <si>
    <t>12.5</t>
  </si>
  <si>
    <t xml:space="preserve">PISO PODOTÁTIL, DIRECIONAL OU ALERTA, ASSENTADO SOBRE ARGAMASSA. AF_05 </t>
  </si>
  <si>
    <t>PISO TÁTIL ALERTA OU DIRECIONAL</t>
  </si>
  <si>
    <t>ENTORNO DA ESCOLA</t>
  </si>
  <si>
    <t>PLAYGROUND</t>
  </si>
  <si>
    <t xml:space="preserve">SETOP 01/2018 </t>
  </si>
  <si>
    <t>CONCRETO FCK = 15MPA, TRAÇO 1:3,4:3,5 (CIMENTO/ AREIA MÉDIA/ BRITA 1)- PREPARO MECÂNICO COM BETONEIRA 400 L. AF_07/2016</t>
  </si>
  <si>
    <t>M³</t>
  </si>
  <si>
    <t xml:space="preserve">SERVENTE COM ENCARGOS COMPLEMENTARES </t>
  </si>
  <si>
    <t>BALANÇO 3 LUGARES</t>
  </si>
  <si>
    <t>GANGORRA TRIPLA</t>
  </si>
  <si>
    <t>GIRA - GIRA</t>
  </si>
  <si>
    <t>ESCADA ARCO</t>
  </si>
  <si>
    <t>LABIRINTO</t>
  </si>
  <si>
    <t>ESCORREGADOR</t>
  </si>
  <si>
    <t>BALANÇO PCD</t>
  </si>
  <si>
    <t xml:space="preserve">* Custo Unitário retirado da tabela SINAPI (setembro/2021)   </t>
  </si>
  <si>
    <t>** Composição de referência para mão de obra</t>
  </si>
  <si>
    <t>*** Os coeficientes de mão de obra foram multiplicados pelo número de equipamentos</t>
  </si>
  <si>
    <t>**** Foram adotadas as cotações da empresa GINAST para o balanço 03 lugares, gangorra, gira-gira, labirinto e balanço PCD e as cotações da empresa TRYANON para a escada arco e escorregador, de acordo com as orientações para elaboração de planilhas orçamentarias de obras públicas, Tribunal de contas da união (TCU), foi feito a escolha de acordo com o valor mediano das cotações.</t>
  </si>
  <si>
    <t>COTAÇÕES - BALANÇO 03 LUGARES</t>
  </si>
  <si>
    <t>Michelle Alves</t>
  </si>
  <si>
    <t>SELVA EQUIPAMENTOS/  CNPJ 15.370.218/0001-05</t>
  </si>
  <si>
    <t>(11) 4098-1917</t>
  </si>
  <si>
    <t>Gisele Caleffo</t>
  </si>
  <si>
    <t>TRYANON/ CNPJ: 02.932.891/0001-40</t>
  </si>
  <si>
    <t>(19) 99885-4746</t>
  </si>
  <si>
    <t>Rafael Assis</t>
  </si>
  <si>
    <t>GINAST/ CNPJ 07.140.524/0001-27</t>
  </si>
  <si>
    <t>(19) 31135400</t>
  </si>
  <si>
    <t>COTAÇÕES -GANGORRA TRIPLA</t>
  </si>
  <si>
    <t>COTAÇÕES - GIRA - GIRA</t>
  </si>
  <si>
    <t>COTAÇÕES - ESCADA ARCO</t>
  </si>
  <si>
    <t>COTAÇÕES - LABIRINTO</t>
  </si>
  <si>
    <t>COTAÇÕES - ESCORREGADOR</t>
  </si>
  <si>
    <t>COTAÇÕES - BALANÇO PCD</t>
  </si>
  <si>
    <t>INSTALAÇÃO DE PLAYGROUND EM ÁREA EXTERNA</t>
  </si>
  <si>
    <t>PLANTIO DE GRAMA ESMERALDA OU SÃO CARLOS OU CURITIBANA, EM PLACAS. AF_</t>
  </si>
  <si>
    <t>PLANTIO DE ÁRVORE ORNAMENTAL COM ALTURA DE MUDA MENOR OU IGUAL A 2,00 M. AF_05/2018</t>
  </si>
  <si>
    <t>POSTE DECORATIVO PARA JARDIM EM AÇO TUBULAR, H = *2,5* M, SEM LUMINÁRIA - FORNECIMENTO E INSTALAÇÃO. AF_11/2019</t>
  </si>
  <si>
    <t>ARRUELA EM ALUMINIO, COM ROSCA, DE 1", PARA ELETRODUTO</t>
  </si>
  <si>
    <t>ARRUELA EM ALUMINIO, COM ROSCA, DE 1/2", PARA ELETRODUTO</t>
  </si>
  <si>
    <t>BUCHA EM ALUMINIO, COM ROSCA, DE 1 1/2", PARA ELETRODUTO</t>
  </si>
  <si>
    <t>PLUG OU BUJAO DE FERRO GALVANIZADO, DE 4"</t>
  </si>
  <si>
    <t>CAIXA RETANGULAR 4" X 2" BAIXA (0,30 M DO PISO), PVC, INSTALADA EM PAREDE - FORNECIMENTO E INSTALAÇÃO. AF_12/2016</t>
  </si>
  <si>
    <t>CAIXA RETANGULAR 4" X 2" ALTA (2,00 M DO PISO), PVC, INSTALADA EM PAREDE - FORNECIMENTO E INSTALAÇÃO. AF_12/2015</t>
  </si>
  <si>
    <t>CURVA 180 GRAUS PARA ELETRODUTO, PVC, ROSCÁVEL, DN 32 MM (1"), PARA CIRCUITOS TERMINAIS, INSTALADA EM PAREDE - FORNECIMENTO E INSTALAÇÃO. AF_12/2015</t>
  </si>
  <si>
    <t>CURVA 90 GRAUS PARA ELETRODUTO, PVC, ROSCÁVEL, DN 32 MM (1"), PARA CIRCUITOS TERMINAIS, INSTALADA EM PAREDE - FORNECIMENTO E INSTALAÇÃO. AF_12/2015</t>
  </si>
  <si>
    <t>CURVA 90 GRAUS PARA ELETRODUTO, PVC, ROSCÁVEL, DN 50 MM (1 1/2"), PARA REDE ENTERRADA DE DISTRIBUIÇÃO DE ENERGIA ELÉTRICA - FORNECIMENTO E INSTALAÇÃO. AF_12/2021</t>
  </si>
  <si>
    <t>LUVA PARA ELETRODUTO, PVC, ROSCÁVEL, DN 50 MM (1 1/2"), PARA REDE ENTERRADA DE DISTRIBUIÇÃO DE ENERGIA ELÉTRICA - FORNECIMENTO E INSTALAÇÃO.AF_12/2021</t>
  </si>
  <si>
    <t>CABO DE COBRE FLEXÍVEL ISOLADO, 16 MM², ANTI-CHAMA 0,6/1,0 KV, PARA CIRCUITOS TERMINAIS - FORNECIMENTO E INSTALAÇÃO. AF_12/2015</t>
  </si>
  <si>
    <t>CABO DE COBRE FLEXÍVEL ISOLADO, 25 MM², ANTI-CHAMA 0,6/1,0 KV, PARA REDE ENTERRADA DE DISTRIBUIÇÃO DE ENERGIA ELÉTRICA - FORNECIMENTO E INSTALAÇÃO. AF_12/2021</t>
  </si>
  <si>
    <t>CABO DE COBRE FLEXÍVEL ISOLADO, 35 MM², ANTI-CHAMA 0,6/1,0 KV, PARA REDE ENTERRADA DE DISTRIBUIÇÃO DE ENERGIA ELÉTRICA - FORNECIMENTO E INSTALAÇÃO. AF_12/2021</t>
  </si>
  <si>
    <t>CABO DE COBRE FLEXÍVEL ISOLADO, 50 MM², ANTI-CHAMA 0,6/1,0 KV, PARA REDE ENTERRADA DE DISTRIBUIÇÃO DE ENERGIA ELÉTRICA - FORNECIMENTO E INSTALAÇÃO. AF_12/2021</t>
  </si>
  <si>
    <t>CABO DE COBRE FLEXÍVEL ISOLADO, 95 MM², ANTI-CHAMA 0,6/1,0 KV, PARA REDE ENTERRADA DE DISTRIBUIÇÃO DE ENERGIA ELÉTRICA - FORNECIMENTO E INSTALAÇÃO. AF_12/2021</t>
  </si>
  <si>
    <t>CAIXA DE PASSAGEM PARA TELEFONE 15X15X10CM (SOBREPOR), FORNECIMENTO E INSTALACAO. AF_11/2019</t>
  </si>
  <si>
    <t>CANALETA PVC 50 x 80 mm</t>
  </si>
  <si>
    <t>TOMADA MÉDIA DE EMBUTIR (1 MÓDULO), 2P+T 20 A, INCLUINDO SUPORTE E PLACA - FORNECIMENTO E INSTALAÇÃO. AF_12/2015</t>
  </si>
  <si>
    <t>INTERRUPTOR SIMPLES (1 MÓDULO), 10A/250V, INCLUINDO SUPORTE E PLACA - FORNECIMENTO E INSTALAÇÃO. AF_12/2015</t>
  </si>
  <si>
    <t>INTERRUPTOR SIMPLES (2 MÓDULOS) COM 1 TOMADA DE EMBUTIR 2P+T 10 A, INCLUINDO SUPORTE E PLACA - FORNECIMENTO E INSTALAÇÃO. AF_12/2015</t>
  </si>
  <si>
    <t>TOMADA ALTA DE EMBUTIR (1 MÓDULO), 2P+T 20 A, INCLUINDO SUPORTE E PLACA - FORNECIMENTO E INSTALAÇÃO. AF_12/2015</t>
  </si>
  <si>
    <t>DISJUNTOR MONOPOLAR TIPO DIN, CORRENTE NOMINAL DE 50A - FORNECIMENTO E INSTALAÇÃO. AF_10/2020</t>
  </si>
  <si>
    <t>DISJUNTOR BIPOLAR TIPO DIN, CORRENTE NOMINAL DE 16A - FORNECIMENTO E INSTALAÇÃO. AF_10/2020</t>
  </si>
  <si>
    <t>DISJUNTOR BIPOLAR TIPO DIN, CORRENTE NOMINAL DE 25A - FORNECIMENTO E INSTALAÇÃO. AF_10/2020</t>
  </si>
  <si>
    <t>DISJUNTOR BIPOLAR TIPO DIN, CORRENTE NOMINAL DE 32A - FORNECIMENTO E INSTALAÇÃO. AF_10/2020</t>
  </si>
  <si>
    <t>DISJUNTOR BIPOLAR TIPO DIN, CORRENTE NOMINAL DE 40A - FORNECIMENTO E INSTALAÇÃO. AF_10/2020</t>
  </si>
  <si>
    <t>DISJUNTOR BIPOLAR TIPO DIN, CORRENTE NOMINAL DE 50A - FORNECIMENTO E INSTALAÇÃO. AF_10/2020</t>
  </si>
  <si>
    <t>DISJUNTOR TRIPOLAR TIPO DIN, CORRENTE NOMINAL DE 25A - FORNECIMENTO E INSTALAÇÃO. AF_10/2020</t>
  </si>
  <si>
    <t>DISJUNTOR TRIPOLAR TIPO DIN, CORRENTE NOMINAL DE 32A - FORNECIMENTO E INSTALAÇÃO. AF_10/2020</t>
  </si>
  <si>
    <t>DISJUNTOR TRIPOLAR TIPO DIN, CORRENTE NOMINAL DE 40A - FORNECIMENTO E INSTALAÇÃO. AF_10/2020</t>
  </si>
  <si>
    <t>DISJUNTOR TRIPOLAR TIPO DIN, CORRENTE NOMINAL DE 50A - FORNECIMENTO E INSTALAÇÃO. AF_10/2020</t>
  </si>
  <si>
    <t>DISJUNTOR TERMOMAGNÉTICO TRIPOLAR , CORRENTE NOMINAL DE 250A - FORNECIMENTO E INSTALAÇÃO. AF_10/2020</t>
  </si>
  <si>
    <t>ELETRODUTO FLEXÍVEL CORRUGADO, PEAD, DN 50 (1 1/2"), PARA REDE ENTERRADA DE DISTRIBUIÇÃO DE ENERGIA ELÉTRICA - FORNECIMENTO E INSTALAÇÃO. AF_12/2021</t>
  </si>
  <si>
    <t>ELETRODUTO FLEXÍVEL CORRUGADO, PEAD, DN 63 (2"), PARA REDE ENTERRADA DE DISTRIBUIÇÃO DE ENERGIA ELÉTRICA - FORNECIMENTO E INSTALAÇÃO. AF_12/2021</t>
  </si>
  <si>
    <t>ELETRODUTO FLEXÍVEL CORRUGADO, PEAD, DN 90 (3"), PARA REDE ENTERRADA DE DISTRIBUIÇÃO DE ENERGIA ELÉTRICA - FORNECIMENTO E INSTALAÇÃO. AF_12/2021</t>
  </si>
  <si>
    <t>ELETRODUTO FLEXÍVEL CORRUGADO, PEAD, DN 100 (4"), PARA REDE ENTERRADA DE DISTRIBUIÇÃO DE ENERGIA ELÉTRICA - FORNECIMENTO E INSTALAÇÃO. AF_12/2021</t>
  </si>
  <si>
    <t>COMP07</t>
  </si>
  <si>
    <t>LUMINÁRIA TIPO PLAFON CIRCULAR, DE SOBREPOR, COM LED DE 12/13 W - FORNECIMENTO E INSTALAÇÃO. AF_03/2022</t>
  </si>
  <si>
    <t>HASTE DE ATERRAMENTO 5/8 PARA SPDA - FORNECIMENTO E INSTALAÇÃO. AF_12/2017</t>
  </si>
  <si>
    <t>ISOLADOR, TIPO ROLDANA, PARA BAIXA TENSÃO - FORNECIMENTO E INSTALAÇÃO. AF_07/2020</t>
  </si>
  <si>
    <t>TUBO DE AÇO GALVANIZADO COM COSTURA, CLASSE MÉDIA, DN 100 (4"), CONEXÃO ROSQUEADA, INSTALADO EM PRUMADAS - FORNECIMENTO E INSTALAÇÃO. AF_10/2020</t>
  </si>
  <si>
    <t>QUADRO DE MEDIÇÃO GERAL DE ENERGIA PARA 1 MEDIDOR DE SOBREPOR - FORNECIMENTO E INSTALAÇÃO. AF_10/2020</t>
  </si>
  <si>
    <t>BARRAMENTO DE FASE PARA 12 DISJUNTORES DIN.TRIFÁSICO</t>
  </si>
  <si>
    <t>135562 CPOS</t>
  </si>
  <si>
    <t>QUADRO DE DISTRIBUICAO, SEM BARRAMENTO, EM PVC, DE SOBREPOR, PARA 27 DISJUNTORES NEMA OU 36 DISJUNTORES DIN</t>
  </si>
  <si>
    <t>QUADRO DE DISTRIBUIÇÃO TRIFÁSICO, EM PVC, PARA 36 DISJUNTORES DIN, SOBREPOR. INSTALAÇÃO E FORNECIMENTO.</t>
  </si>
  <si>
    <t>BARRAMENTO DE FASE PARA 12 DISJUNTORES DIN.BIFÁSICO</t>
  </si>
  <si>
    <t>135486 CPOS</t>
  </si>
  <si>
    <t>QUADRO DE DISTRIBUICAO, SEM BARRAMENTO, EM PVC, DE EMBUTIR, PARA 18 DISJUNTORES NEMA OU 24 DISJUNTORES DIN</t>
  </si>
  <si>
    <t>QUADRO DE DISTRIBUIÇÃO BIFÁSICO, EM PVC, PARA 24 DISJUNTORES DIN, EMBUTIR. INSTALAÇÃO E FORNECIMENTO.</t>
  </si>
  <si>
    <t>QUADRO DE DISTRIBUICAO, SEM BARRAMENTO, EM PVC, DE EMBUTIR, PARA 27 DISJUNTORES NEMA OU 36 DISJUNTORES DIN</t>
  </si>
  <si>
    <t>QUADRO DE DISTRIBUIÇÃO BIFÁSICO, EM PVC, PARA 36 DISJUNTORES DIN, EMBUTIR. INSTALAÇÃO E FORNECIMENTO.</t>
  </si>
  <si>
    <t>DESCIRÇÃO</t>
  </si>
  <si>
    <t>LAMPADA LED TUBULAR BIVOLT 18/20 W, BASE G13</t>
  </si>
  <si>
    <t>LUMINÁRIA PARA 1 LAMPADAS LED DE 18W, BASE G13, EM CHAPA DE AÇO, INCLUSO LAMPADA. INSTALAÇÃO E FORNECIMENTO.</t>
  </si>
  <si>
    <t>** Dados retirados da tabela CPOS sem desoneração de 11/2018</t>
  </si>
  <si>
    <t>LAMPADA LED TUBULAR T8 COM BASE G13, DE 3400 ATÉ 4000 LM - 36 A 40 W - COM MÃO DE OBRA</t>
  </si>
  <si>
    <t>CPOS 41.02.562**</t>
  </si>
  <si>
    <t>LUMINÁRIA PARA 1 LAMPADAS LED DE 36W, BASE G13, EM CHAPA DE AÇO, INCLUSO LAMPADA. INSTALAÇÃO E FORNECIMENTO.</t>
  </si>
  <si>
    <t>DISPOSITIVO DR, 2 POLOS, SENSIBILIDADE DE 30 MA, CORRENTE DE 63 A, TIPO AC</t>
  </si>
  <si>
    <t>TERMINAL A COMPRESSAO EM COBRE ESTANHADO PARA CABO 16 MM2, 1 FURO E 1 COMPRESSAO, PARA PARAFUSO DE FIXACAO M6</t>
  </si>
  <si>
    <t>DISPOSITIVO DR, 2 POLOS, SENSIBILIDADE DE 30 MA, CORRENTE DE 63 A, TIPO AC - FORNECIMENTO E INSTALAÇÃO</t>
  </si>
  <si>
    <t>DISPOSITIVO DR, 2 POLOS, SENSIBILIDADE DE 30 MA, CORRENTE DE 40 A, TIPO AC</t>
  </si>
  <si>
    <t>DISPOSITIVO DR, 2 POLOS, SENSIBILIDADE DE 30 MA, CORRENTE DE 40 A, TIPO AC - FORNECIMENTO E INSTALAÇÃO</t>
  </si>
  <si>
    <t>DISPOSITIVO DR, 2 POLOS, SENSIBILIDADE DE 30 MA, CORRENTE DE 25 A, TIPO AC</t>
  </si>
  <si>
    <t>DISPOSITIVO DR, 2 POLOS, SENSIBILIDADE DE 30 MA, CORRENTE DE 25 A, TIPO AC - FORNECIMENTO E INSTALAÇÃO</t>
  </si>
  <si>
    <t>DISJUNTOR TIPO DIN/IEC, TRIPOLAR 63 A</t>
  </si>
  <si>
    <t>DISJUNTOR TRIPOLAR TIPO DIN, CORRENTE NOMINAL DE 63A - FORNECIMENTO E INSTALAÇÃO</t>
  </si>
  <si>
    <t>LUVA PARA ELETRODUTO, EM ACO GALVANIZADO ELETROLITICO, DIAMETRO DE 100 MM (4")</t>
  </si>
  <si>
    <t>LUVA PARA ELETRODUTO, EM ACO GALVANIZADO ELETROLITICO, DIAMETRO DE 100 MM (4") - INSTALAÇÃO E FORNECIMENTO</t>
  </si>
  <si>
    <t>CURVA 180 GRAUS, DE PVC RIGIDO ROSCAVEL, DE 1 1/2", PARA ELETRODUTO</t>
  </si>
  <si>
    <t>CURVA 180 GRAUS PARA ELETRODUTO, PVC, ROSCÁVEL, DN 50 MM (1.1/2"), PARA CIRCUITOS TERMINAIS, INSTALADA EM PAREDE - FORNECIMENTO E INSTALAÇÃO. AF_12/2015</t>
  </si>
  <si>
    <t>LUMINÁRIA PARA 2 LAMPADAS LED DE 36W, BASE G13, EM CHAPA DE AÇO, INCLUSO LAMPADA. INSTALAÇÃO E FORNECIMENTO.</t>
  </si>
  <si>
    <t>QUADRO DE DISTRIBUICAO, SEM BARRAMENTO, EM PVC, DE SOBREPOR, PARA 12 DISJUNTORES NEMA OU 16 DISJUNTORES DIN</t>
  </si>
  <si>
    <t>QUADRO DE DISTRIBUIÇÃO TRIFÁSICO, EM PVC, PARA 12 DISJUNTORES DIN, SOBREPOR. INSTALAÇÃO E FORNECIMENTO.</t>
  </si>
  <si>
    <t>DISPOSITIVO DPS CLASSE II, 1 POLO, TENSAO MAXIMA DE 275 V, CORRENTE MAXIMA DE *90* KA (TIPO AC)</t>
  </si>
  <si>
    <t>FORNECIMENTO E INSTALAÇÃO DE DISPOSITIVO DPS CLASSE II, 1 POLO, TENSÃO MAXIMA DE 275 V, CORRENTE MAXIMA DE 90 KA (TIPO AC)</t>
  </si>
  <si>
    <t>7.2</t>
  </si>
  <si>
    <t>7.3</t>
  </si>
  <si>
    <t>8.5</t>
  </si>
  <si>
    <t>8.6</t>
  </si>
  <si>
    <t>9.4</t>
  </si>
  <si>
    <t>9.5</t>
  </si>
  <si>
    <t>9.6</t>
  </si>
  <si>
    <t>9.7</t>
  </si>
  <si>
    <t>10.5</t>
  </si>
  <si>
    <t>11.1.1</t>
  </si>
  <si>
    <t>FABRICAÇÃO E INSTALAÇÃO DE TESOURA INTEIRA EM AÇO, VÃO DE 3 M, PARA TE
LHA ONDULADA DE FIBROCIMENTO, METÁLICA, PLÁSTICA OU TERMOACÚSTICA, INC
LUSO IÇAMENTO.. AF_12/20</t>
  </si>
  <si>
    <t>11.1.2</t>
  </si>
  <si>
    <t>11.1.3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</si>
  <si>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</si>
  <si>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</si>
  <si>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</si>
  <si>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</si>
  <si>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</si>
  <si>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</si>
  <si>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</si>
  <si>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</si>
  <si>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</si>
  <si>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</si>
  <si>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</si>
  <si>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</si>
  <si>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</si>
  <si>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</si>
  <si>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</si>
  <si>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</si>
  <si>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</si>
  <si>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</si>
  <si>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</si>
  <si>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</si>
  <si>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</si>
  <si>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</si>
  <si>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</si>
  <si>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</si>
  <si>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</si>
  <si>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</si>
  <si>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</si>
  <si>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</si>
  <si>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</si>
  <si>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</si>
  <si>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</si>
  <si>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</si>
  <si>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</si>
  <si>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</si>
  <si>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</si>
  <si>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</si>
  <si>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</si>
  <si>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</si>
  <si>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</si>
  <si>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</si>
  <si>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</si>
  <si>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</si>
  <si>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</si>
  <si>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</si>
  <si>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</si>
  <si>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</si>
  <si>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</si>
  <si>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</si>
  <si>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</si>
  <si>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</si>
  <si>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</si>
  <si>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</si>
  <si>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</si>
  <si>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</si>
  <si>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</si>
  <si>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</si>
  <si>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</si>
  <si>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</si>
  <si>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</si>
  <si>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</si>
  <si>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</si>
  <si>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</si>
  <si>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</si>
  <si>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</si>
  <si>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</si>
  <si>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</si>
  <si>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</si>
  <si>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</si>
  <si>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</si>
  <si>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</si>
  <si>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</si>
  <si>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</si>
  <si>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</si>
  <si>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</si>
  <si>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</si>
  <si>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</si>
  <si>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</si>
  <si>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</si>
  <si>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</si>
  <si>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</si>
  <si>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</si>
  <si>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</si>
  <si>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</si>
  <si>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</si>
  <si>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</si>
  <si>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</si>
  <si>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</si>
  <si>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</si>
  <si>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</si>
  <si>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</si>
  <si>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</si>
  <si>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</si>
  <si>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</si>
  <si>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</si>
  <si>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</si>
  <si>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</si>
  <si>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</si>
  <si>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</si>
  <si>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</si>
  <si>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</si>
  <si>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</si>
  <si>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</si>
  <si>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</si>
  <si>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</si>
  <si>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</si>
  <si>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</si>
  <si>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</si>
  <si>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</si>
  <si>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</si>
  <si>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</si>
  <si>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</si>
  <si>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</si>
  <si>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</si>
  <si>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</si>
  <si>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</si>
  <si>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</si>
  <si>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</si>
  <si>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</si>
  <si>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</si>
  <si>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</si>
  <si>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</si>
  <si>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</si>
  <si>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</si>
  <si>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</si>
  <si>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</si>
  <si>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</si>
  <si>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</si>
  <si>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COMPOSIÇÃO DE PREÇOS /PLAYGROUND</t>
  </si>
  <si>
    <t>CONFORME PROJETO ARQUITETÔNICO</t>
  </si>
  <si>
    <t>11.2.1</t>
  </si>
  <si>
    <t>11.2.2</t>
  </si>
  <si>
    <t>11.2.3</t>
  </si>
  <si>
    <t>12.53</t>
  </si>
  <si>
    <t>12.54</t>
  </si>
  <si>
    <t>12.55</t>
  </si>
  <si>
    <t>12.56</t>
  </si>
  <si>
    <t>12.57</t>
  </si>
  <si>
    <t xml:space="preserve">CAIXA SIFONADA PVC, 100 X 100 X 50 MM, COM GRELHA REDONDA, BRANCA </t>
  </si>
  <si>
    <t>JOELHO 90 GRAUS, PVC, SERIE NORMAL, ESGOTO PREDIAL, DN 100 MM, JUNTA ELÁSTICA</t>
  </si>
  <si>
    <t>TUBO PVC, SERIE NORMAL, ESGOTO PREDIAL, DN 100 MM, FORNECIDO E INSTALADO EM SUBCOLETOR AÉREO DE ESGOTO SANITÁRIO. AF_12/2014</t>
  </si>
  <si>
    <t>COMPOSIÇÃO DE PREÇOS / HIDROSSANITÁRIO</t>
  </si>
  <si>
    <t>TABELA COMP15</t>
  </si>
  <si>
    <t>COMP15</t>
  </si>
  <si>
    <t>SUMIDOURO CIRCULAR, EM CONCRETO PRÉ-MOLDADO, DIÂMETRO INTERNO = 2,88 M, ALTURA INTERNA = 3,0 M, ÁREA DE INFILTRAÇÃO: 31,4 M² (PARA 12 CONTRIBUINTES). AF_12/2020</t>
  </si>
  <si>
    <t>TANQUE SÉPTICO RETANGULAR, EM ALVENARIA COM TIJOLOS CERÂMICOS MACIÇOS, DIMENSÕES INTERNAS: 1,4 X 3,2 X H=1,8 M, VOLUME ÚTIL: 6272 L (PARA 32CONTRIBUINTES). AF_12/2020</t>
  </si>
  <si>
    <t>ADESIVO PLASTICO PARA PVC, FRASCO COM *850* GR</t>
  </si>
  <si>
    <t>ANEL BORRACHA PARA TUBO ESGOTO PREDIAL, DN 75 MM (NBR 5688)</t>
  </si>
  <si>
    <t>CAIXA SIFONADA, PVC, 150 X 150 X 50 MM, COM GRELHA QUADRADA, BRANCA (NBR 5688)</t>
  </si>
  <si>
    <t>PASTA LUBRIFICANTE PARA TUBOS E CONEXOES COM JUNTA ELASTICA, EMBALAGEM DE *400* GR (USO EM PVC, ACO, POLIETILENO E OUTROS)</t>
  </si>
  <si>
    <t>SOLUCAO PREPARADORA / LIMPADORA PARA PVC, FRASCO COM 1000 CM3</t>
  </si>
  <si>
    <t>LIXA D'AGUA EM FOLHA, GRAO 100</t>
  </si>
  <si>
    <t>AUXILIAR DE ENCANADOR OU BOMBEIRO HIDRÁULICO COM ENCARGOS COMPLEMENTARES</t>
  </si>
  <si>
    <t>ENCANADOR OU BOMBEIRO HIDRÁULICO COM ENCARGOS COMPLEMENTARES</t>
  </si>
  <si>
    <t>CAIXA SIFONADA, PVC, 150 X 150 X 50MM, COM GRELHA QUADRADA, BRANCA - FORNECIMENTO E INSTALAÇÃO</t>
  </si>
  <si>
    <t>COMP03</t>
  </si>
  <si>
    <t>SIFÃO DO TIPO GARRAFA EM METAL CROMADO 1 X 1.1/2 - FORNECIMENTO E INSTALAÇÃO. AF_01/2020</t>
  </si>
  <si>
    <t>VÁLVULA EM PLÁSTICO 1 PARA PIA, TANQUE OU LAVATÓRIO, COM OU SEM LADRÃO - FORNECIMENTO E INSTALAÇÃO. AF_01/2020</t>
  </si>
  <si>
    <t>CURVA CURTA 90 GRAUS, PVC, SERIE NORMAL, ESGOTO PREDIAL, DN 40 MM, JUNTA SOLDÁVEL, FORNECIDO E INSTALADO EM RAMAL DE DESCARGA OU RAMAL DE ESGOTO SANITÁRIO. AF_12/2014</t>
  </si>
  <si>
    <t>JOELHO 45 GRAUS, PVC, SERIE NORMAL, ESGOTO PREDIAL, DN 100 MM, JUNTA ELÁSTICA,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</si>
  <si>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</si>
  <si>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JOELHO 45 GRAUS, PVC, SERIE NORMAL, ESGOTO PREDIAL, DN 50 MM, JUNTA ELÁSTICA,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</si>
  <si>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</si>
  <si>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</si>
  <si>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JUNCAO SIMPLES, PVC, SERIE R, DN 100 X 50 MM PARA ESGOTO PREDIAL - FORNECIMENTO E INSTALAÇÃO</t>
  </si>
  <si>
    <t>ANEL BORRACHA PARA TUBO ESGOTO PREDIAL, DN 100 MM (NBR 5688)</t>
  </si>
  <si>
    <t>ANEL BORRACHA PARA TUBO ESGOTO PREDIAL, DN 50 MM (NBR 5688)</t>
  </si>
  <si>
    <t>JUNCAO SIMPLES, PVC, DN 100 X 50 MM, SERIE NORMAL PARA ESGOTO PREDIAL</t>
  </si>
  <si>
    <t>TABELA COMP03</t>
  </si>
  <si>
    <t>JUNÇÃO SIMPLES, PVC, SERIE NORMAL, ESGOTO PREDIAL, DN 100 X 100 MM, JUNTA ELÁSTICA, FORNECIDO E INSTALADO EM RAMAL DE DESCARGA OU RAMAL DE ESGOTO SANITÁRIO. AF_12/2014</t>
  </si>
  <si>
    <t>TUBO PVC, SERIE NORMAL, ESGOTO PREDIAL, DN 100 MM, FORNECIDO E INSTALADO EM RAMAL DE DESCARGA OU RAMAL DE ESGOTO SANITÁRIO. AF_12/2014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</si>
  <si>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</si>
  <si>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</si>
  <si>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TABELA COMP11</t>
  </si>
  <si>
    <t>TABELA COMP12</t>
  </si>
  <si>
    <t>TABELA COMP13</t>
  </si>
  <si>
    <t>TABELA COMP14</t>
  </si>
  <si>
    <t>TABELA COMP16</t>
  </si>
  <si>
    <t>TABELA COMP17</t>
  </si>
  <si>
    <t>TABELA COMP18</t>
  </si>
  <si>
    <t>TABELA COMP19</t>
  </si>
  <si>
    <t>TABELA COMP20</t>
  </si>
  <si>
    <t>TABELA COMP21</t>
  </si>
  <si>
    <t>TABELA COMP22</t>
  </si>
  <si>
    <t>COMP08</t>
  </si>
  <si>
    <t>COMP09</t>
  </si>
  <si>
    <t>COMP11</t>
  </si>
  <si>
    <t>COMP12</t>
  </si>
  <si>
    <t>COMP13</t>
  </si>
  <si>
    <t>COMP14</t>
  </si>
  <si>
    <t>COMP16</t>
  </si>
  <si>
    <t>COMP17</t>
  </si>
  <si>
    <t>COMP18</t>
  </si>
  <si>
    <t>COMP19</t>
  </si>
  <si>
    <t>COMP20</t>
  </si>
  <si>
    <t>COMP21</t>
  </si>
  <si>
    <t>COMP22</t>
  </si>
  <si>
    <t>TUBO DE PVC PARA REDE COLETORA DE ESGOTO DE PAREDE MACIÇA, DN 200 MM, JUNTA ELÁSTICA - FORNECIMENTO E ASSENTAMENTO. AF_01/2021</t>
  </si>
  <si>
    <t>CURVA PVC, BB, JE, 45 GRAUS, DN 200 MM, PARA TUBO CORRUGADO E/OU LISO, REDE COLETORA ESGOTO (NBR 10569)</t>
  </si>
  <si>
    <t>ANEL BORRACHA, PARA TUBO PVC, REDE COLETOR ESGOTO, DN 200 MM (NBR 7362)</t>
  </si>
  <si>
    <t>CURVA PVC, 45 GRAUS, PARA REDE COLETORA DE ESGOTO - FORNECIMENTO E INSTALAÇÃO</t>
  </si>
  <si>
    <t>TABELA COMP23</t>
  </si>
  <si>
    <t>TABELA COMP 024</t>
  </si>
  <si>
    <t>COMP23</t>
  </si>
  <si>
    <t>COMP024</t>
  </si>
  <si>
    <t>REGISTRO DE ESFERA, PVC, ROSCÁVEL, COM VOLANTE, 1/2" - FORNECIMENTO E INSTALAÇÃO. AF_08/20</t>
  </si>
  <si>
    <t>ADAPTADOR, POLIPROPILENO, PARA TUBOS EM PEAD, 20 MM X 1/2", PARA LIGAÇÃO PREDIAL DE ÁGUA. AF_06/2</t>
  </si>
  <si>
    <t>VASO SANITÁRIO SIFONADO COM CAIXA ACOPLADA LOUÇA BRANCA - FORNECIMENTO E INSTALAÇÃO. AF_01/2020</t>
  </si>
  <si>
    <t>VASO SANITARIO SIFONADO CONVENCIONAL PARA PCD SEM FURO FRONTAL COM LOUÇA BRANCA SEM ASSENTO, INCLUSO CONJUNTO DE LIGAÇÃO PARA BACIA SANITÁRI
A AJUSTÁVEL - FORNECIMENTO E INSTALAÇÃO. AF_01/2020</t>
  </si>
  <si>
    <t>TORNEIRA CROMADA DE MESA, 1/2 OU 3/4, PARA LAVATÓRIO, PADRÃO MÉDIO FORNECIMENTO E INSTALAÇÃO. AF_01/202</t>
  </si>
  <si>
    <t>CHUVEIRO ELÉTRICO COMUM CORPO PLÁSTICO, TIPO DUCHA FORNECIMENTO E IN UN C 
STALAÇÃO. AF_01/202</t>
  </si>
  <si>
    <t>COLAR DE TOMADA, PVC, COM TRAVAS, DE 60 MM X 1/2" OU 60 MM X 3/4", PARA LIGAÇÃO PREDIAL DE ÁGUA. AF_06/2022</t>
  </si>
  <si>
    <t>ADAPTADOR CURTO COM BOLSA E ROSCA PARA REGISTRO, PVC, SOLDÁVEL, DN 20MM X 1/2 , INSTALADO EM RAMAL OU SUB-RAMAL DE ÁGUA - FORNECIMENTO E INSTALAÇÃO. AF_06/</t>
  </si>
  <si>
    <t>ADAPTADOR COM FLANGE E ANEL DE VEDAÇÃO, PVC, SOLDÁVEL, DN 20 MM X 1/2, INSTALADO EM RESERVAÇÃO DE ÁGUA DE EDIFICAÇÃO QUE POSSUA RESERVATÓRIO DE FIBRA/FIBROCIMENTO FORNECIMENTO E INSTALAÇÃO</t>
  </si>
  <si>
    <t>ADAPTADOR COM FLANGE E ANEL DE VEDAÇÃO, PVC, SOLDÁVEL, DN 50 MM X 1 1/ 2 , INSTALADO EM RESERVAÇÃO DE ÁGUA DE EDIFICAÇÃO QUE POSSUA RESERVATÓRIO DE FIBRA/FIBROCIMENTO FORNECIMENTO E INSTALAÇÃO. AF_06/2016</t>
  </si>
  <si>
    <t>ADAPTADOR COM FLANGES LIVRES, PVC, SOLDÁVEL, DN 25 MM X 3/4 , INSTALADO EM RESERVAÇÃO DE ÁGUA DE EDIFICAÇÃO QUE POSSUA RESERVATÓRIO DE FIBRA/FIBROCIMENTO FORNECIMENTO E INSTALAÇÃO</t>
  </si>
  <si>
    <t>ADAPTADOR CURTO COM BOLSA E ROSCA PARA REGISTRO, PVC, SOLDÁVEL, DN 50MM X 1.1/2 , INSTALADO EM PRUMADA DE ÁGUA - FORNECIMENTO E INSTALAÇÃO.AF_06/2022</t>
  </si>
  <si>
    <t xml:space="preserve">REGISTRO PRESSAO COM ACABAMENTO E CANOPLA CROMADA, SIMPLES, BITOLA 1/2 " </t>
  </si>
  <si>
    <t xml:space="preserve">BOLSA DE LIGACAO EM PVC FLEXIVEL PARA VASO SANITARIO 1.1/2 " (40 MM) </t>
  </si>
  <si>
    <t>ENGATE FLEXÍVEL EM INOX, 1/2 X 30CM - FORNECIMENTO E INSTALAÇÃO. AF_01/2020</t>
  </si>
  <si>
    <t>BUCHA DE REDUÇÃO, CURTA, PVC, SOLDÁVEL, DN 25 X 20 MM, INSTALADO EM RAMAL DE DISTRIBUIÇÃO DE ÁGUA - FORNECIMENTO E INSTALAÇÃO. AF_</t>
  </si>
  <si>
    <t xml:space="preserve">LUVA COM BUCHA DE LATÃO, PVC, SOLDÁVEL, DN 20MM X 1/2", INSTALADO EM RAMAL OU SUB-RAMAL DE ÁGUA </t>
  </si>
  <si>
    <t>TÊ COM BUCHA DE LATÃO NA BOLSA CENTRAL, PVC, SOLDÁVEL, DN 20MM X 1/2, INSTALADO EM RAMAL</t>
  </si>
  <si>
    <t>TE DE REDUCAO, PVC, SOLDAVEL, 90 GRAUS, 25 MM X 20 MM, PARA AGUA FRIA PREDIAL</t>
  </si>
  <si>
    <t>TE SOLDAVEL, PVC, 90 GRAUS, 20 MM, PARA AGUA FRIA PREDIAL (NBR 5648)</t>
  </si>
  <si>
    <t>TE SOLDAVEL, PVC, 90 GRAUS,50 MM, PARA AGUA FRIA PREDIAL (NBR 5648)</t>
  </si>
  <si>
    <t>JOELHO 90 GRAUS, PVC, SOLDÁVEL, DN 20MM, INSTALADO EM RAMAL OU SUB-RAMAL DE ÁGUA - FORNECIMENTO E INSTALAÇÃO. AF_06/202</t>
  </si>
  <si>
    <t xml:space="preserve">JOELHO 45 GRAUS, PVC, SOLDÁVEL, DN 20MM, INSTALADO EM RAMAL OU SUB-RAMAL DE ÁGUA - FORNECIMENTO E INSTALAÇÃO. </t>
  </si>
  <si>
    <t>JOELHO PVC, SOLDAVEL, COM BUCHA DE LATAO, 90 GRAUS, 20 MM X 1/2", PARA AGUA FRIA PREDIAL</t>
  </si>
  <si>
    <t>TUBO, PVC, SOLDÁVEL, DN 25MM, INSTALADO EM PRUMADA DE ÁGUA - FORNECIMENTO E INSTALAÇÃO. AF_06/202</t>
  </si>
  <si>
    <t>TUBO, PVC, SOLDÁVEL, DN 20MM, INSTALADO EM RAMAL DE DISTRIBUIÇÃO DE ÁGUA - FORNECIMENTO E INSTALAÇÃO. AF_06/20</t>
  </si>
  <si>
    <t>JOELHO 90 GRAUS, ROSCA FÊMEA TERMINAL, PARA INSTALAÇÕES EM PEX, DN 20MM X 1/2"</t>
  </si>
  <si>
    <t>SANTO ANTONIO DO LESTE - MT, 06 DE SETEMBRO DE 2022</t>
  </si>
  <si>
    <t>CREA/MT - 53224</t>
  </si>
  <si>
    <t>210 DIAS</t>
  </si>
  <si>
    <t>240 DIAS</t>
  </si>
  <si>
    <t>270 DIAS</t>
  </si>
  <si>
    <t>FABRICAÇÃO E INSTALAÇÃO DE TESOURA INTEIRA EM AÇO, VÃO DE 4 M, PARA TELHA ONDULADA DE FIBROCIMENTO, METÁLICA, PLÁSTICA OU TERMOACÚSTICA, INCLUSO IÇAMENTO. AF_12/2015</t>
  </si>
  <si>
    <t>TABELA COMP25</t>
  </si>
  <si>
    <t>FABRICAÇÃO E INSTALAÇÃO DE TESOURA INTEIRA EM AÇO, VÃO DE 17 M, PARA TELHA ONDULADA DE FIBROCIMENTO, METÁLICA, PLÁSTICA OU TERMOACÚSTICA, INCLUSO IÇAMENTO.</t>
  </si>
  <si>
    <t>CANTONEIRA ACO ABAS IGUAIS (QUALQUER BITOLA), ESPESSURA ENTRE 1/8" E 1/4"</t>
  </si>
  <si>
    <t>TABELA COMP26</t>
  </si>
  <si>
    <t>INSTALAÇÃO DE TESOURA (INTEIRA OU MEIA), EM AÇO, PARA VÃOS DE 17,0 M, INCLUSO IÇAMENTO</t>
  </si>
  <si>
    <t>MONTADOR DE ESTRUTURA METÁLICA COM ENCARGOS COMPLEMENTARES</t>
  </si>
  <si>
    <t>GUINDASTE HIDRÁULICO AUTOPROPELIDO, COM LANÇA TELESCÓPICA 40 M, CAPACIDADE MÁXIMA 60 T, POTÊNCIA 260 KW - CHP DIURNO. AF_03/2016</t>
  </si>
  <si>
    <t>GUINDASTE HIDRÁULICO AUTOPROPELIDO, COM LANÇA TELESCÓPICA 40 M, CAPACIDADE MÁXIMA 60 T, POTÊNCIA 260 KW - CHI DIURNO. AF_03/2016</t>
  </si>
  <si>
    <t>CHP</t>
  </si>
  <si>
    <t>CHI</t>
  </si>
  <si>
    <t>PARAFUSO DE ACO TIPO CHUMBADOR PARABOLT, DIAMETRO 1/2", COMPRIMENTO 75 MM</t>
  </si>
  <si>
    <t>ELETRODO REVESTIDO AWS - E7018, DIAMETRO IGUAL A 4,00 MM</t>
  </si>
  <si>
    <t>PERFIL UDC ("U" DOBRADO DE CHAPA) SIMPLES DE ACO LAMINADO, GALVANIZADO, TM A36, 127 X 50 MM, E= 3 MM</t>
  </si>
  <si>
    <t>COMP26</t>
  </si>
  <si>
    <t>COMP25</t>
  </si>
  <si>
    <t>FABRICAÇÃO E INSTALAÇÃO DE TESOURA INTEIRA EM AÇO, VÃO DE 8 M, PARA TELHA ONDULADA DE FIBROCIMENTO, METÁLICA, PLÁSTICA OU TERMOACÚSTICA, INCLUSO IÇAMENTO, INCLUSO IÇAMENTO. AF_12/2015</t>
  </si>
  <si>
    <t>FABRICAÇÃO E INSTALAÇÃO DE TESOURA INTEIRA EM AÇO, VÃO DE 6 M, PARA TELHA ONDULADA DE FIBROCIMENTO, METÁLICA, PLÁSTICA OU TERMOACÚSTICA, INCLUSO IÇAMENTO. AF_12/2015</t>
  </si>
  <si>
    <t>FABRICAÇÃO E INSTALAÇÃO DE TESOURA INTEIRA EM AÇO, VÃO DE 12 M, PARA TELHA ONDULADA DE FIBROCIMENTO, METÁLICA, PLÁSTICA OU TERMOACÚSTICA, INCLUSO IÇAMENTO. AF_12/2015</t>
  </si>
  <si>
    <t>FABRICAÇÃO E INSTALAÇÃO DE TESOURA INTEIRA EM AÇO, VÃO DE 11 M, PARA TELHA ONDULADA DE FIBROCIMENTO, METÁLICA, PLÁSTICA OU TERMOACÚSTICA, INCLUSO IÇAMENTO. AF_12/2015</t>
  </si>
  <si>
    <t>FABRICAÇÃO E INSTALAÇÃO DE TESOURA INTEIRA EM AÇO, VÃO DE 5 M, PARA TELHA ONDULADA DE FIBROCIMENTO, METÁLICA, PLÁSTICA OU TERMOACÚSTICA, INCLUSO IÇAMENTO. AF_12/2015</t>
  </si>
  <si>
    <t>FABRICAÇÃO E INSTALAÇÃO DE TESOURA INTEIRA EM AÇO, VÃO DE 9 M, PARA TELHA ONDULADA DE FIBROCIMENTO, METÁLICA, PLÁSTICA OU TERMOACÚSTICA, INCLUSO IÇAMENTO. AF_12/2015</t>
  </si>
  <si>
    <t>9.8</t>
  </si>
  <si>
    <t>9.9</t>
  </si>
  <si>
    <t>9.10</t>
  </si>
  <si>
    <t>9.11</t>
  </si>
  <si>
    <t>9.12</t>
  </si>
  <si>
    <t>9.13</t>
  </si>
  <si>
    <t>9.14</t>
  </si>
  <si>
    <t>9.15</t>
  </si>
  <si>
    <t>COMPOSIÇÃO DE PREÇOS / COBERTURA</t>
  </si>
  <si>
    <t>1 TESOURA A CADA 3,48 M, SENDO 1 EM CADA PAREDE = 6</t>
  </si>
  <si>
    <t>1 TESOURA A CADA 3 M, SENDO 1 EM CADA PAREDE = 15</t>
  </si>
  <si>
    <t>1 TESOURA A CADA 3,10 M, SENDO 1 EM CADA PAREDE = 13</t>
  </si>
  <si>
    <t>1 TESOURA A CADA 3,38 M, SENDO 1 EM CADA PAREDE = 3
1 TESOURA A CADA 3,38 M, SENDO 1 EM CADA PAREDE = 3
1 TESOURA A CADA 4,3 M, SENDO 1 EM CADA PAREDE = 3</t>
  </si>
  <si>
    <t>1 TESOURA A CADA 3,7 M, SENDO 1 EM CADA PAREDE = 3
1 TESOURA A CADA 3,74 M, SENDO 1 EM CADA PAREDE = 3
1 TESOURA A CADA 3,18 M, SENDO 1 EM CADA PAREDE = 7</t>
  </si>
  <si>
    <t>1 TESOURA A CADA 3,10 M, SENDO 1 EM CADA PAREDE = 13
1 TESOURA A CADA 3,19 M, SENDO 1 EM CADA PAREDE = 3
1 TESOURA A CADA 3,75 M, SENDO 1 EM CADA PAREDE = 4</t>
  </si>
  <si>
    <t>Importa o presente orçamento em R$ 2.844.335,05 (Dois milhões, oitocentos e quarenta e quatro mil, trezentos e trinta e cinco reais e cinco centavos)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</si>
</sst>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R$&quot;\ #,##0.00"/>
    <numFmt numFmtId="165" formatCode="0.0%"/>
    <numFmt numFmtId="166" formatCode="0.0000"/>
    <numFmt numFmtId="167" formatCode="0.000%"/>
    <numFmt numFmtId="168" formatCode="0.000"/>
    <numFmt numFmtId="169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15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1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782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12" xfId="0" applyFont="1" applyBorder="1" applyAlignment="1">
      <alignment wrapText="1"/>
    </xf>
    <xf numFmtId="166" fontId="0" fillId="0" borderId="12" xfId="0" applyNumberFormat="1" applyBorder="1" applyAlignment="1">
      <alignment horizontal="center" vertical="center"/>
    </xf>
    <xf numFmtId="167" fontId="2" fillId="2" borderId="12" xfId="0" applyNumberFormat="1" applyFont="1" applyFill="1" applyBorder="1" applyAlignment="1">
      <alignment horizontal="center" vertical="center" wrapText="1"/>
    </xf>
    <xf numFmtId="167" fontId="2" fillId="2" borderId="12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2" fillId="2" borderId="12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2" fontId="0" fillId="0" borderId="12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2" xfId="0" applyBorder="1"/>
    <xf numFmtId="167" fontId="0" fillId="0" borderId="12" xfId="1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1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169" fontId="0" fillId="0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2" fontId="0" fillId="0" borderId="12" xfId="1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3" fillId="0" borderId="12" xfId="0" applyFont="1" applyBorder="1"/>
    <xf numFmtId="2" fontId="13" fillId="0" borderId="12" xfId="0" applyNumberFormat="1" applyFont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wrapText="1"/>
    </xf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/>
    <xf numFmtId="169" fontId="2" fillId="2" borderId="12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3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2" fontId="2" fillId="5" borderId="19" xfId="0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2" fontId="0" fillId="0" borderId="39" xfId="0" applyNumberFormat="1" applyBorder="1" applyAlignment="1">
      <alignment horizontal="center"/>
    </xf>
    <xf numFmtId="9" fontId="0" fillId="0" borderId="0" xfId="1" applyFont="1"/>
    <xf numFmtId="0" fontId="2" fillId="5" borderId="4" xfId="0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31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10" fontId="2" fillId="5" borderId="32" xfId="1" applyNumberFormat="1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0" fontId="0" fillId="0" borderId="8" xfId="0" applyBorder="1"/>
    <xf numFmtId="0" fontId="0" fillId="0" borderId="16" xfId="0" applyBorder="1"/>
    <xf numFmtId="0" fontId="2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2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Alignment="1"/>
    <xf numFmtId="0" fontId="22" fillId="0" borderId="0" xfId="0" applyFont="1" applyBorder="1" applyAlignment="1">
      <alignment vertical="center" wrapText="1"/>
    </xf>
    <xf numFmtId="14" fontId="0" fillId="0" borderId="0" xfId="0" applyNumberFormat="1" applyBorder="1" applyAlignment="1"/>
    <xf numFmtId="0" fontId="23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17" xfId="0" quotePrefix="1" applyFont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54" xfId="0" applyBorder="1"/>
    <xf numFmtId="0" fontId="0" fillId="0" borderId="40" xfId="0" applyBorder="1"/>
    <xf numFmtId="0" fontId="0" fillId="0" borderId="38" xfId="0" applyBorder="1"/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9" fillId="0" borderId="0" xfId="0" applyFont="1" applyFill="1" applyBorder="1" applyAlignment="1"/>
    <xf numFmtId="0" fontId="13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2" fontId="13" fillId="0" borderId="39" xfId="0" applyNumberFormat="1" applyFont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13" fillId="0" borderId="0" xfId="0" applyFont="1" applyFill="1" applyBorder="1" applyAlignment="1">
      <alignment horizontal="right"/>
    </xf>
    <xf numFmtId="2" fontId="13" fillId="0" borderId="0" xfId="0" applyNumberFormat="1" applyFont="1" applyFill="1" applyBorder="1"/>
    <xf numFmtId="0" fontId="13" fillId="0" borderId="0" xfId="0" applyFont="1" applyFill="1" applyBorder="1" applyAlignment="1"/>
    <xf numFmtId="0" fontId="0" fillId="0" borderId="57" xfId="0" applyBorder="1"/>
    <xf numFmtId="0" fontId="2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 wrapText="1"/>
    </xf>
    <xf numFmtId="0" fontId="0" fillId="0" borderId="58" xfId="0" applyBorder="1"/>
    <xf numFmtId="0" fontId="0" fillId="0" borderId="52" xfId="0" applyBorder="1"/>
    <xf numFmtId="0" fontId="0" fillId="0" borderId="59" xfId="0" applyBorder="1"/>
    <xf numFmtId="165" fontId="0" fillId="0" borderId="0" xfId="0" applyNumberFormat="1"/>
    <xf numFmtId="164" fontId="0" fillId="0" borderId="12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165" fontId="0" fillId="0" borderId="41" xfId="1" applyNumberFormat="1" applyFont="1" applyFill="1" applyBorder="1" applyAlignment="1">
      <alignment horizontal="center"/>
    </xf>
    <xf numFmtId="165" fontId="0" fillId="0" borderId="41" xfId="1" applyNumberFormat="1" applyFont="1" applyBorder="1" applyAlignment="1">
      <alignment horizontal="center"/>
    </xf>
    <xf numFmtId="164" fontId="2" fillId="2" borderId="55" xfId="0" applyNumberFormat="1" applyFont="1" applyFill="1" applyBorder="1" applyAlignment="1">
      <alignment horizontal="center"/>
    </xf>
    <xf numFmtId="164" fontId="0" fillId="0" borderId="55" xfId="0" applyNumberFormat="1" applyBorder="1"/>
    <xf numFmtId="165" fontId="0" fillId="0" borderId="55" xfId="1" applyNumberFormat="1" applyFont="1" applyBorder="1" applyAlignment="1">
      <alignment horizontal="center"/>
    </xf>
    <xf numFmtId="165" fontId="0" fillId="0" borderId="39" xfId="1" applyNumberFormat="1" applyFont="1" applyBorder="1" applyAlignment="1">
      <alignment horizontal="center"/>
    </xf>
    <xf numFmtId="0" fontId="5" fillId="2" borderId="40" xfId="0" applyFont="1" applyFill="1" applyBorder="1" applyAlignment="1">
      <alignment horizontal="center" wrapText="1"/>
    </xf>
    <xf numFmtId="164" fontId="5" fillId="2" borderId="41" xfId="0" applyNumberFormat="1" applyFont="1" applyFill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5" fillId="3" borderId="39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/>
    </xf>
    <xf numFmtId="0" fontId="0" fillId="0" borderId="36" xfId="0" applyBorder="1"/>
    <xf numFmtId="0" fontId="3" fillId="0" borderId="0" xfId="0" applyFont="1" applyFill="1" applyBorder="1" applyAlignment="1">
      <alignment vertical="center" wrapText="1"/>
    </xf>
    <xf numFmtId="0" fontId="0" fillId="0" borderId="65" xfId="0" applyBorder="1"/>
    <xf numFmtId="0" fontId="0" fillId="0" borderId="67" xfId="0" applyBorder="1"/>
    <xf numFmtId="0" fontId="2" fillId="4" borderId="41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10" fontId="0" fillId="0" borderId="41" xfId="1" applyNumberFormat="1" applyFont="1" applyBorder="1" applyAlignment="1">
      <alignment horizontal="center"/>
    </xf>
    <xf numFmtId="10" fontId="2" fillId="2" borderId="39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2" xfId="0" applyBorder="1" applyAlignment="1"/>
    <xf numFmtId="0" fontId="6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wrapText="1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68" fontId="0" fillId="0" borderId="12" xfId="0" applyNumberFormat="1" applyBorder="1" applyAlignment="1">
      <alignment horizontal="center" vertical="center"/>
    </xf>
    <xf numFmtId="0" fontId="0" fillId="0" borderId="7" xfId="0" applyFill="1" applyBorder="1"/>
    <xf numFmtId="0" fontId="2" fillId="4" borderId="40" xfId="0" applyFon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2" fontId="13" fillId="0" borderId="39" xfId="0" applyNumberFormat="1" applyFont="1" applyFill="1" applyBorder="1" applyAlignment="1">
      <alignment horizontal="center"/>
    </xf>
    <xf numFmtId="0" fontId="2" fillId="4" borderId="6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68" xfId="0" applyFont="1" applyFill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0" xfId="0" applyFont="1" applyFill="1" applyBorder="1" applyAlignment="1"/>
    <xf numFmtId="0" fontId="13" fillId="0" borderId="0" xfId="0" applyFont="1" applyFill="1" applyBorder="1"/>
    <xf numFmtId="0" fontId="0" fillId="0" borderId="0" xfId="0" applyFill="1" applyBorder="1" applyAlignment="1"/>
    <xf numFmtId="0" fontId="0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21" fillId="0" borderId="0" xfId="0" applyFont="1" applyFill="1" applyBorder="1" applyAlignment="1"/>
    <xf numFmtId="0" fontId="0" fillId="0" borderId="40" xfId="0" applyBorder="1" applyAlignment="1">
      <alignment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 indent="1"/>
    </xf>
    <xf numFmtId="2" fontId="0" fillId="0" borderId="15" xfId="0" applyNumberFormat="1" applyBorder="1" applyAlignment="1">
      <alignment horizontal="center" vertical="center"/>
    </xf>
    <xf numFmtId="0" fontId="2" fillId="4" borderId="30" xfId="0" applyFont="1" applyFill="1" applyBorder="1" applyAlignment="1">
      <alignment horizontal="center"/>
    </xf>
    <xf numFmtId="0" fontId="2" fillId="4" borderId="69" xfId="0" applyFont="1" applyFill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2" fillId="4" borderId="70" xfId="0" applyFont="1" applyFill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2" fontId="0" fillId="0" borderId="53" xfId="0" applyNumberFormat="1" applyFill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 vertical="center"/>
    </xf>
    <xf numFmtId="2" fontId="0" fillId="0" borderId="41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55" xfId="0" applyNumberFormat="1" applyFill="1" applyBorder="1" applyAlignment="1">
      <alignment horizontal="center" vertical="center"/>
    </xf>
    <xf numFmtId="2" fontId="0" fillId="0" borderId="39" xfId="0" applyNumberForma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2" fontId="0" fillId="0" borderId="42" xfId="0" applyNumberFormat="1" applyFill="1" applyBorder="1" applyAlignment="1">
      <alignment horizontal="center" vertical="center"/>
    </xf>
    <xf numFmtId="2" fontId="0" fillId="0" borderId="47" xfId="0" applyNumberFormat="1" applyFill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168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68" fontId="0" fillId="0" borderId="0" xfId="0" applyNumberFormat="1" applyFill="1" applyBorder="1" applyAlignment="1">
      <alignment vertical="center"/>
    </xf>
    <xf numFmtId="168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/>
    </xf>
    <xf numFmtId="168" fontId="0" fillId="0" borderId="0" xfId="0" applyNumberFormat="1" applyFill="1" applyBorder="1" applyAlignment="1">
      <alignment horizontal="center" vertical="center" wrapText="1"/>
    </xf>
    <xf numFmtId="168" fontId="0" fillId="0" borderId="0" xfId="1" applyNumberFormat="1" applyFont="1" applyFill="1" applyBorder="1" applyAlignment="1">
      <alignment vertical="center"/>
    </xf>
    <xf numFmtId="169" fontId="0" fillId="0" borderId="0" xfId="0" applyNumberFormat="1" applyFill="1" applyBorder="1" applyAlignment="1">
      <alignment vertical="center"/>
    </xf>
    <xf numFmtId="168" fontId="0" fillId="0" borderId="0" xfId="1" applyNumberFormat="1" applyFont="1" applyFill="1" applyBorder="1" applyAlignment="1">
      <alignment horizontal="center" vertical="center"/>
    </xf>
    <xf numFmtId="169" fontId="14" fillId="0" borderId="0" xfId="0" applyNumberFormat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1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/>
    <xf numFmtId="0" fontId="13" fillId="0" borderId="38" xfId="0" applyFont="1" applyBorder="1"/>
    <xf numFmtId="0" fontId="21" fillId="6" borderId="54" xfId="0" applyFont="1" applyFill="1" applyBorder="1" applyAlignment="1">
      <alignment horizontal="center"/>
    </xf>
    <xf numFmtId="0" fontId="21" fillId="6" borderId="62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0" fillId="0" borderId="40" xfId="0" applyFill="1" applyBorder="1"/>
    <xf numFmtId="0" fontId="0" fillId="0" borderId="71" xfId="0" applyFill="1" applyBorder="1"/>
    <xf numFmtId="0" fontId="13" fillId="0" borderId="38" xfId="0" applyFont="1" applyFill="1" applyBorder="1" applyAlignment="1">
      <alignment horizontal="right"/>
    </xf>
    <xf numFmtId="2" fontId="13" fillId="0" borderId="39" xfId="0" applyNumberFormat="1" applyFont="1" applyBorder="1" applyAlignment="1">
      <alignment horizontal="right"/>
    </xf>
    <xf numFmtId="0" fontId="29" fillId="2" borderId="12" xfId="0" applyFont="1" applyFill="1" applyBorder="1" applyAlignment="1">
      <alignment horizontal="center" vertical="center"/>
    </xf>
    <xf numFmtId="2" fontId="29" fillId="2" borderId="12" xfId="0" applyNumberFormat="1" applyFont="1" applyFill="1" applyBorder="1" applyAlignment="1">
      <alignment horizontal="center" vertical="center"/>
    </xf>
    <xf numFmtId="164" fontId="29" fillId="2" borderId="12" xfId="0" applyNumberFormat="1" applyFont="1" applyFill="1" applyBorder="1" applyAlignment="1">
      <alignment horizontal="center" vertical="center"/>
    </xf>
    <xf numFmtId="0" fontId="30" fillId="0" borderId="12" xfId="4" applyFont="1" applyFill="1" applyBorder="1" applyAlignment="1">
      <alignment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164" fontId="0" fillId="0" borderId="41" xfId="0" applyNumberFormat="1" applyBorder="1"/>
    <xf numFmtId="0" fontId="0" fillId="0" borderId="53" xfId="0" applyFill="1" applyBorder="1" applyAlignment="1"/>
    <xf numFmtId="164" fontId="0" fillId="0" borderId="37" xfId="0" applyNumberFormat="1" applyFill="1" applyBorder="1"/>
    <xf numFmtId="0" fontId="0" fillId="7" borderId="55" xfId="0" applyFill="1" applyBorder="1"/>
    <xf numFmtId="164" fontId="0" fillId="7" borderId="39" xfId="0" applyNumberFormat="1" applyFill="1" applyBorder="1"/>
    <xf numFmtId="0" fontId="0" fillId="7" borderId="25" xfId="0" applyFill="1" applyBorder="1"/>
    <xf numFmtId="164" fontId="0" fillId="7" borderId="68" xfId="0" applyNumberFormat="1" applyFill="1" applyBorder="1"/>
    <xf numFmtId="0" fontId="0" fillId="0" borderId="12" xfId="0" applyFill="1" applyBorder="1" applyAlignment="1"/>
    <xf numFmtId="164" fontId="0" fillId="0" borderId="41" xfId="0" applyNumberFormat="1" applyFill="1" applyBorder="1"/>
    <xf numFmtId="0" fontId="0" fillId="7" borderId="12" xfId="0" applyFill="1" applyBorder="1" applyAlignment="1"/>
    <xf numFmtId="164" fontId="0" fillId="7" borderId="41" xfId="0" applyNumberFormat="1" applyFill="1" applyBorder="1"/>
    <xf numFmtId="0" fontId="0" fillId="0" borderId="55" xfId="0" applyFill="1" applyBorder="1"/>
    <xf numFmtId="164" fontId="0" fillId="0" borderId="39" xfId="0" applyNumberFormat="1" applyFill="1" applyBorder="1"/>
    <xf numFmtId="0" fontId="10" fillId="0" borderId="0" xfId="0" applyFont="1" applyAlignment="1">
      <alignment wrapText="1"/>
    </xf>
    <xf numFmtId="164" fontId="7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Border="1"/>
    <xf numFmtId="168" fontId="0" fillId="0" borderId="12" xfId="0" applyNumberForma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8" fontId="13" fillId="0" borderId="1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right" vertical="center"/>
    </xf>
    <xf numFmtId="0" fontId="13" fillId="0" borderId="12" xfId="0" applyNumberFormat="1" applyFont="1" applyBorder="1" applyAlignment="1">
      <alignment horizontal="center" vertical="center"/>
    </xf>
    <xf numFmtId="168" fontId="0" fillId="0" borderId="12" xfId="1" applyNumberFormat="1" applyFont="1" applyBorder="1" applyAlignment="1">
      <alignment horizontal="center" vertical="center"/>
    </xf>
    <xf numFmtId="0" fontId="13" fillId="0" borderId="1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2" xfId="0" applyBorder="1"/>
    <xf numFmtId="0" fontId="0" fillId="0" borderId="73" xfId="0" applyBorder="1"/>
    <xf numFmtId="0" fontId="0" fillId="0" borderId="40" xfId="0" applyBorder="1" applyAlignment="1">
      <alignment horizontal="center" vertical="center" wrapText="1"/>
    </xf>
    <xf numFmtId="168" fontId="0" fillId="0" borderId="41" xfId="0" applyNumberFormat="1" applyBorder="1" applyAlignment="1">
      <alignment horizontal="center" vertical="center"/>
    </xf>
    <xf numFmtId="168" fontId="13" fillId="0" borderId="4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8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1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2" fontId="13" fillId="0" borderId="37" xfId="0" applyNumberFormat="1" applyFont="1" applyFill="1" applyBorder="1" applyAlignment="1"/>
    <xf numFmtId="2" fontId="21" fillId="0" borderId="41" xfId="0" applyNumberFormat="1" applyFont="1" applyFill="1" applyBorder="1" applyAlignment="1"/>
    <xf numFmtId="2" fontId="21" fillId="0" borderId="39" xfId="0" applyNumberFormat="1" applyFont="1" applyFill="1" applyBorder="1" applyAlignment="1"/>
    <xf numFmtId="2" fontId="0" fillId="0" borderId="12" xfId="0" applyNumberFormat="1" applyFill="1" applyBorder="1" applyAlignment="1">
      <alignment vertical="center" wrapText="1"/>
    </xf>
    <xf numFmtId="2" fontId="0" fillId="0" borderId="12" xfId="0" applyNumberForma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3" fillId="0" borderId="48" xfId="0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5" borderId="4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4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2" borderId="38" xfId="0" applyFont="1" applyFill="1" applyBorder="1" applyAlignment="1">
      <alignment horizontal="right"/>
    </xf>
    <xf numFmtId="0" fontId="0" fillId="2" borderId="55" xfId="0" applyFill="1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3" borderId="5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0" fillId="0" borderId="53" xfId="0" applyBorder="1" applyAlignment="1"/>
    <xf numFmtId="0" fontId="0" fillId="0" borderId="37" xfId="0" applyBorder="1" applyAlignment="1"/>
    <xf numFmtId="0" fontId="0" fillId="0" borderId="12" xfId="0" applyBorder="1" applyAlignment="1"/>
    <xf numFmtId="0" fontId="0" fillId="0" borderId="41" xfId="0" applyBorder="1" applyAlignment="1"/>
    <xf numFmtId="14" fontId="0" fillId="0" borderId="12" xfId="0" applyNumberFormat="1" applyBorder="1" applyAlignment="1">
      <alignment horizontal="left"/>
    </xf>
    <xf numFmtId="14" fontId="0" fillId="0" borderId="41" xfId="0" applyNumberFormat="1" applyBorder="1" applyAlignment="1">
      <alignment horizontal="left"/>
    </xf>
    <xf numFmtId="0" fontId="2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55" xfId="0" applyNumberFormat="1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47" xfId="0" applyBorder="1" applyAlignment="1">
      <alignment horizontal="left"/>
    </xf>
    <xf numFmtId="0" fontId="27" fillId="0" borderId="18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2" fillId="2" borderId="6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164" fontId="7" fillId="0" borderId="38" xfId="0" applyNumberFormat="1" applyFont="1" applyBorder="1" applyAlignment="1">
      <alignment horizontal="right" vertical="center"/>
    </xf>
    <xf numFmtId="164" fontId="7" fillId="0" borderId="55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0" fillId="0" borderId="12" xfId="0" applyFont="1" applyBorder="1" applyAlignment="1">
      <alignment wrapText="1"/>
    </xf>
    <xf numFmtId="0" fontId="11" fillId="0" borderId="1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6" xfId="0" applyBorder="1" applyAlignment="1"/>
    <xf numFmtId="0" fontId="0" fillId="0" borderId="62" xfId="0" applyBorder="1" applyAlignment="1"/>
    <xf numFmtId="14" fontId="0" fillId="0" borderId="39" xfId="0" applyNumberFormat="1" applyBorder="1" applyAlignment="1">
      <alignment horizontal="left"/>
    </xf>
    <xf numFmtId="0" fontId="5" fillId="2" borderId="4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7" fillId="0" borderId="12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6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7" borderId="38" xfId="0" applyFill="1" applyBorder="1" applyAlignment="1">
      <alignment horizontal="left"/>
    </xf>
    <xf numFmtId="0" fontId="0" fillId="7" borderId="55" xfId="0" applyFill="1" applyBorder="1" applyAlignment="1">
      <alignment horizontal="left"/>
    </xf>
    <xf numFmtId="0" fontId="0" fillId="7" borderId="40" xfId="0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0" borderId="38" xfId="0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2" fillId="5" borderId="36" xfId="0" applyFont="1" applyFill="1" applyBorder="1" applyAlignment="1">
      <alignment horizontal="center"/>
    </xf>
    <xf numFmtId="0" fontId="2" fillId="5" borderId="53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7" borderId="59" xfId="0" applyFill="1" applyBorder="1" applyAlignment="1">
      <alignment horizontal="left"/>
    </xf>
    <xf numFmtId="0" fontId="0" fillId="7" borderId="49" xfId="0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0" borderId="60" xfId="0" applyFill="1" applyBorder="1" applyAlignment="1">
      <alignment horizontal="left"/>
    </xf>
    <xf numFmtId="0" fontId="0" fillId="0" borderId="44" xfId="0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0" fillId="7" borderId="67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0" fillId="7" borderId="25" xfId="0" applyFill="1" applyBorder="1" applyAlignment="1">
      <alignment horizontal="left"/>
    </xf>
    <xf numFmtId="0" fontId="17" fillId="0" borderId="5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50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51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7" fillId="0" borderId="20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5" fillId="3" borderId="5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68" fontId="13" fillId="0" borderId="12" xfId="0" applyNumberFormat="1" applyFont="1" applyBorder="1" applyAlignment="1">
      <alignment horizontal="center" vertical="center"/>
    </xf>
    <xf numFmtId="168" fontId="13" fillId="0" borderId="4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right" vertical="center" wrapText="1"/>
    </xf>
    <xf numFmtId="2" fontId="13" fillId="0" borderId="15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8" fontId="0" fillId="0" borderId="12" xfId="1" applyNumberFormat="1" applyFont="1" applyBorder="1" applyAlignment="1">
      <alignment horizontal="center" vertical="center"/>
    </xf>
    <xf numFmtId="169" fontId="0" fillId="0" borderId="12" xfId="0" applyNumberFormat="1" applyBorder="1" applyAlignment="1">
      <alignment horizontal="center" vertical="center"/>
    </xf>
    <xf numFmtId="169" fontId="14" fillId="0" borderId="40" xfId="0" applyNumberFormat="1" applyFont="1" applyBorder="1" applyAlignment="1">
      <alignment horizontal="left" vertical="center"/>
    </xf>
    <xf numFmtId="169" fontId="14" fillId="0" borderId="12" xfId="0" applyNumberFormat="1" applyFont="1" applyBorder="1" applyAlignment="1">
      <alignment horizontal="left" vertical="center"/>
    </xf>
    <xf numFmtId="168" fontId="0" fillId="0" borderId="12" xfId="0" applyNumberForma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4" fillId="0" borderId="5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/>
    </xf>
    <xf numFmtId="0" fontId="13" fillId="0" borderId="41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5" xfId="1" applyNumberFormat="1" applyFont="1" applyBorder="1" applyAlignment="1">
      <alignment horizontal="center" vertical="center"/>
    </xf>
    <xf numFmtId="0" fontId="13" fillId="0" borderId="16" xfId="1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3" xfId="0" quotePrefix="1" applyFont="1" applyBorder="1" applyAlignment="1">
      <alignment horizontal="center" vertical="center"/>
    </xf>
    <xf numFmtId="0" fontId="13" fillId="0" borderId="15" xfId="0" quotePrefix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1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0" fillId="0" borderId="6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64" xfId="0" applyBorder="1" applyAlignment="1">
      <alignment horizontal="left"/>
    </xf>
    <xf numFmtId="14" fontId="0" fillId="0" borderId="59" xfId="0" applyNumberFormat="1" applyBorder="1" applyAlignment="1">
      <alignment horizontal="left"/>
    </xf>
    <xf numFmtId="14" fontId="0" fillId="0" borderId="48" xfId="0" applyNumberFormat="1" applyBorder="1" applyAlignment="1">
      <alignment horizontal="left"/>
    </xf>
    <xf numFmtId="14" fontId="0" fillId="0" borderId="66" xfId="0" applyNumberFormat="1" applyBorder="1" applyAlignment="1">
      <alignment horizontal="left"/>
    </xf>
    <xf numFmtId="0" fontId="13" fillId="0" borderId="38" xfId="0" applyFont="1" applyFill="1" applyBorder="1" applyAlignment="1">
      <alignment horizontal="left"/>
    </xf>
    <xf numFmtId="0" fontId="13" fillId="0" borderId="55" xfId="0" applyFont="1" applyFill="1" applyBorder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right"/>
    </xf>
    <xf numFmtId="2" fontId="13" fillId="0" borderId="10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right"/>
    </xf>
    <xf numFmtId="0" fontId="21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36" xfId="0" applyFont="1" applyFill="1" applyBorder="1" applyAlignment="1">
      <alignment horizontal="left"/>
    </xf>
    <xf numFmtId="0" fontId="13" fillId="0" borderId="53" xfId="0" applyFont="1" applyFill="1" applyBorder="1" applyAlignment="1">
      <alignment horizontal="left"/>
    </xf>
    <xf numFmtId="0" fontId="13" fillId="0" borderId="40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63" xfId="0" applyBorder="1" applyAlignment="1">
      <alignment horizontal="left"/>
    </xf>
    <xf numFmtId="14" fontId="0" fillId="0" borderId="47" xfId="0" applyNumberForma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14" fontId="0" fillId="0" borderId="20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4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3" fillId="0" borderId="38" xfId="0" applyFont="1" applyBorder="1" applyAlignment="1">
      <alignment horizontal="left"/>
    </xf>
    <xf numFmtId="0" fontId="13" fillId="0" borderId="55" xfId="0" applyFont="1" applyBorder="1" applyAlignment="1">
      <alignment horizontal="left"/>
    </xf>
    <xf numFmtId="0" fontId="13" fillId="0" borderId="36" xfId="0" applyFont="1" applyFill="1" applyBorder="1" applyAlignment="1">
      <alignment horizontal="center"/>
    </xf>
    <xf numFmtId="0" fontId="13" fillId="0" borderId="53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14" fontId="0" fillId="0" borderId="25" xfId="0" applyNumberFormat="1" applyBorder="1" applyAlignment="1">
      <alignment horizontal="left"/>
    </xf>
    <xf numFmtId="14" fontId="0" fillId="0" borderId="68" xfId="0" applyNumberFormat="1" applyBorder="1" applyAlignment="1">
      <alignment horizontal="left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5">
    <cellStyle name="Normal" xfId="0" builtinId="0"/>
    <cellStyle name="Normal 2 2 10" xfId="3" xr:uid="{00000000-0005-0000-0000-000001000000}"/>
    <cellStyle name="Normal 282 2" xfId="4" xr:uid="{00000000-0005-0000-0000-000002000000}"/>
    <cellStyle name="Normal 6" xfId="2" xr:uid="{00000000-0005-0000-0000-000003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269874</xdr:colOff>
      <xdr:row>2</xdr:row>
      <xdr:rowOff>44448</xdr:rowOff>
    </xdr:from>
    <xdr:to>
      <xdr:col>10</xdr:col>
      <xdr:colOff>285749</xdr:colOff>
      <xdr:row>51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4" y="425448"/>
          <a:ext cx="6111875" cy="93091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790575</xdr:colOff>
      <xdr:row>0</xdr:row>
      <xdr:rowOff>95250</xdr:rowOff>
    </xdr:from>
    <xdr:ext cx="1126502" cy="508249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229475" y="95250"/>
          <a:ext cx="1126502" cy="508249"/>
        </a:xfrm>
        <a:prstGeom prst="rect">
          <a:avLst/>
        </a:prstGeom>
      </xdr:spPr>
    </xdr:pic>
    <xdr:clientData/>
  </xdr:oneCellAnchor>
  <xdr:twoCellAnchor editAs="oneCell">
    <xdr:from>
      <xdr:col>1</xdr:col>
      <xdr:colOff>190500</xdr:colOff>
      <xdr:row>0</xdr:row>
      <xdr:rowOff>40861</xdr:rowOff>
    </xdr:from>
    <xdr:to>
      <xdr:col>2</xdr:col>
      <xdr:colOff>133349</xdr:colOff>
      <xdr:row>0</xdr:row>
      <xdr:rowOff>694622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40861"/>
          <a:ext cx="761999" cy="6537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899584</xdr:colOff>
      <xdr:row>0</xdr:row>
      <xdr:rowOff>37988</xdr:rowOff>
    </xdr:from>
    <xdr:to>
      <xdr:col>8</xdr:col>
      <xdr:colOff>1240646</xdr:colOff>
      <xdr:row>0</xdr:row>
      <xdr:rowOff>756899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8672664" y="37988"/>
          <a:ext cx="1642245" cy="718911"/>
        </a:xfrm>
        <a:prstGeom prst="rect">
          <a:avLst/>
        </a:prstGeom>
      </xdr:spPr>
    </xdr:pic>
    <xdr:clientData/>
  </xdr:twoCellAnchor>
  <xdr:twoCellAnchor editAs="oneCell">
    <xdr:from>
      <xdr:col>0</xdr:col>
      <xdr:colOff>376655</xdr:colOff>
      <xdr:row>0</xdr:row>
      <xdr:rowOff>52917</xdr:rowOff>
    </xdr:from>
    <xdr:to>
      <xdr:col>0</xdr:col>
      <xdr:colOff>1186280</xdr:colOff>
      <xdr:row>0</xdr:row>
      <xdr:rowOff>747539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655" y="52917"/>
          <a:ext cx="809625" cy="694622"/>
        </a:xfrm>
        <a:prstGeom prst="rect">
          <a:avLst/>
        </a:prstGeom>
      </xdr:spPr>
    </xdr:pic>
    <xdr:clientData/>
  </xdr:twoCellAnchor>
  <xdr:twoCellAnchor editAs="oneCell">
    <xdr:from>
      <xdr:col>0</xdr:col>
      <xdr:colOff>194280</xdr:colOff>
      <xdr:row>59</xdr:row>
      <xdr:rowOff>33842</xdr:rowOff>
    </xdr:from>
    <xdr:to>
      <xdr:col>3</xdr:col>
      <xdr:colOff>321280</xdr:colOff>
      <xdr:row>66</xdr:row>
      <xdr:rowOff>101486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280" y="12297280"/>
          <a:ext cx="3792424" cy="1377332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635001</xdr:colOff>
      <xdr:row>58</xdr:row>
      <xdr:rowOff>174448</xdr:rowOff>
    </xdr:from>
    <xdr:to>
      <xdr:col>8</xdr:col>
      <xdr:colOff>941917</xdr:colOff>
      <xdr:row>66</xdr:row>
      <xdr:rowOff>44589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0425" y="12250787"/>
          <a:ext cx="5715755" cy="13669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649941</xdr:colOff>
      <xdr:row>0</xdr:row>
      <xdr:rowOff>89647</xdr:rowOff>
    </xdr:from>
    <xdr:to>
      <xdr:col>22</xdr:col>
      <xdr:colOff>490257</xdr:colOff>
      <xdr:row>0</xdr:row>
      <xdr:rowOff>684806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18231970" y="89647"/>
          <a:ext cx="1487581" cy="595159"/>
        </a:xfrm>
        <a:prstGeom prst="rect">
          <a:avLst/>
        </a:prstGeom>
      </xdr:spPr>
    </xdr:pic>
    <xdr:clientData/>
  </xdr:twoCellAnchor>
  <xdr:twoCellAnchor editAs="oneCell">
    <xdr:from>
      <xdr:col>1</xdr:col>
      <xdr:colOff>1234888</xdr:colOff>
      <xdr:row>0</xdr:row>
      <xdr:rowOff>95213</xdr:rowOff>
    </xdr:from>
    <xdr:to>
      <xdr:col>2</xdr:col>
      <xdr:colOff>504265</xdr:colOff>
      <xdr:row>0</xdr:row>
      <xdr:rowOff>627386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3270" y="95213"/>
          <a:ext cx="625289" cy="5321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1285876</xdr:colOff>
      <xdr:row>0</xdr:row>
      <xdr:rowOff>47019</xdr:rowOff>
    </xdr:from>
    <xdr:to>
      <xdr:col>6</xdr:col>
      <xdr:colOff>493259</xdr:colOff>
      <xdr:row>0</xdr:row>
      <xdr:rowOff>714375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026389" y="47019"/>
          <a:ext cx="1452562" cy="66735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95250</xdr:rowOff>
    </xdr:from>
    <xdr:to>
      <xdr:col>1</xdr:col>
      <xdr:colOff>371475</xdr:colOff>
      <xdr:row>0</xdr:row>
      <xdr:rowOff>708152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95250"/>
          <a:ext cx="714375" cy="6129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107157</xdr:rowOff>
    </xdr:from>
    <xdr:to>
      <xdr:col>6</xdr:col>
      <xdr:colOff>571500</xdr:colOff>
      <xdr:row>0</xdr:row>
      <xdr:rowOff>592932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164388" y="107157"/>
          <a:ext cx="1285081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0</xdr:row>
      <xdr:rowOff>114300</xdr:rowOff>
    </xdr:from>
    <xdr:to>
      <xdr:col>1</xdr:col>
      <xdr:colOff>333375</xdr:colOff>
      <xdr:row>0</xdr:row>
      <xdr:rowOff>676275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1" y="114300"/>
          <a:ext cx="676274" cy="561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0</xdr:row>
      <xdr:rowOff>66677</xdr:rowOff>
    </xdr:from>
    <xdr:to>
      <xdr:col>9</xdr:col>
      <xdr:colOff>352426</xdr:colOff>
      <xdr:row>0</xdr:row>
      <xdr:rowOff>543234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6934200" y="66677"/>
          <a:ext cx="1343026" cy="47655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0</xdr:row>
      <xdr:rowOff>85725</xdr:rowOff>
    </xdr:from>
    <xdr:to>
      <xdr:col>1</xdr:col>
      <xdr:colOff>590388</xdr:colOff>
      <xdr:row>0</xdr:row>
      <xdr:rowOff>600075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85725"/>
          <a:ext cx="618963" cy="514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152400</xdr:rowOff>
    </xdr:from>
    <xdr:to>
      <xdr:col>3</xdr:col>
      <xdr:colOff>533401</xdr:colOff>
      <xdr:row>0</xdr:row>
      <xdr:rowOff>600075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4581525" y="152400"/>
          <a:ext cx="1057276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228599</xdr:colOff>
      <xdr:row>0</xdr:row>
      <xdr:rowOff>619125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57150"/>
          <a:ext cx="676274" cy="5619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518583</xdr:colOff>
      <xdr:row>0</xdr:row>
      <xdr:rowOff>52916</xdr:rowOff>
    </xdr:from>
    <xdr:to>
      <xdr:col>4</xdr:col>
      <xdr:colOff>941916</xdr:colOff>
      <xdr:row>0</xdr:row>
      <xdr:rowOff>567915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11059583" y="52916"/>
          <a:ext cx="1608666" cy="514999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0</xdr:row>
      <xdr:rowOff>19378</xdr:rowOff>
    </xdr:from>
    <xdr:to>
      <xdr:col>1</xdr:col>
      <xdr:colOff>730250</xdr:colOff>
      <xdr:row>0</xdr:row>
      <xdr:rowOff>555850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250" y="19378"/>
          <a:ext cx="645583" cy="5364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151839</xdr:rowOff>
    </xdr:from>
    <xdr:to>
      <xdr:col>10</xdr:col>
      <xdr:colOff>265019</xdr:colOff>
      <xdr:row>16</xdr:row>
      <xdr:rowOff>170889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151839"/>
          <a:ext cx="6136901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19</xdr:row>
      <xdr:rowOff>135076</xdr:rowOff>
    </xdr:from>
    <xdr:to>
      <xdr:col>10</xdr:col>
      <xdr:colOff>188819</xdr:colOff>
      <xdr:row>36</xdr:row>
      <xdr:rowOff>142314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294" y="3754576"/>
          <a:ext cx="6060701" cy="32457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</xdr:row>
      <xdr:rowOff>142876</xdr:rowOff>
    </xdr:from>
    <xdr:to>
      <xdr:col>5</xdr:col>
      <xdr:colOff>1571625</xdr:colOff>
      <xdr:row>1</xdr:row>
      <xdr:rowOff>666751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77" b="34931"/>
        <a:stretch/>
      </xdr:blipFill>
      <xdr:spPr>
        <a:xfrm>
          <a:off x="7086600" y="342901"/>
          <a:ext cx="1323975" cy="523875"/>
        </a:xfrm>
        <a:prstGeom prst="rect">
          <a:avLst/>
        </a:prstGeom>
      </xdr:spPr>
    </xdr:pic>
    <xdr:clientData/>
  </xdr:twoCellAnchor>
  <xdr:oneCellAnchor>
    <xdr:from>
      <xdr:col>4</xdr:col>
      <xdr:colOff>657225</xdr:colOff>
      <xdr:row>26</xdr:row>
      <xdr:rowOff>142875</xdr:rowOff>
    </xdr:from>
    <xdr:ext cx="65" cy="172227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029325" y="564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895350</xdr:colOff>
      <xdr:row>30</xdr:row>
      <xdr:rowOff>19050</xdr:rowOff>
    </xdr:from>
    <xdr:ext cx="6057900" cy="533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1504950" y="6353175"/>
              <a:ext cx="6057900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𝐵𝐷𝐼</m:t>
                    </m:r>
                    <m:r>
                      <a:rPr lang="pt-B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𝐴𝐶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</m:d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𝐷𝐹</m:t>
                            </m:r>
                          </m:e>
                        </m:d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 (1+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(1−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3C4432A6-E3C9-4B74-BB2C-87F01AC83C82}"/>
                </a:ext>
              </a:extLst>
            </xdr:cNvPr>
            <xdr:cNvSpPr txBox="1"/>
          </xdr:nvSpPr>
          <xdr:spPr>
            <a:xfrm>
              <a:off x="1504950" y="6353175"/>
              <a:ext cx="6057900" cy="533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𝐵𝐷𝐼</a:t>
              </a:r>
              <a:r>
                <a:rPr lang="pt-BR" sz="1100" i="0">
                  <a:latin typeface="Cambria Math" panose="02040503050406030204" pitchFamily="18" charset="0"/>
                </a:rPr>
                <a:t>=((</a:t>
              </a:r>
              <a:r>
                <a:rPr lang="pt-BR" sz="1100" b="0" i="0">
                  <a:latin typeface="Cambria Math" panose="02040503050406030204" pitchFamily="18" charset="0"/>
                </a:rPr>
                <a:t>1+𝐴𝐶+𝑆+𝑅+𝐺)  (1+𝐷𝐹)  (1+𝐿))/((1−𝐼))−1</a:t>
              </a:r>
              <a:endParaRPr lang="pt-BR" sz="1100"/>
            </a:p>
          </xdr:txBody>
        </xdr:sp>
      </mc:Fallback>
    </mc:AlternateContent>
    <xdr:clientData/>
  </xdr:oneCellAnchor>
  <xdr:twoCellAnchor editAs="oneCell">
    <xdr:from>
      <xdr:col>1</xdr:col>
      <xdr:colOff>381000</xdr:colOff>
      <xdr:row>1</xdr:row>
      <xdr:rowOff>35502</xdr:rowOff>
    </xdr:from>
    <xdr:to>
      <xdr:col>1</xdr:col>
      <xdr:colOff>1190625</xdr:colOff>
      <xdr:row>1</xdr:row>
      <xdr:rowOff>730124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" y="235527"/>
          <a:ext cx="809625" cy="6946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288266</xdr:colOff>
      <xdr:row>0</xdr:row>
      <xdr:rowOff>97119</xdr:rowOff>
    </xdr:from>
    <xdr:to>
      <xdr:col>3</xdr:col>
      <xdr:colOff>961649</xdr:colOff>
      <xdr:row>0</xdr:row>
      <xdr:rowOff>732227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6138054" y="97119"/>
          <a:ext cx="1733713" cy="635108"/>
        </a:xfrm>
        <a:prstGeom prst="rect">
          <a:avLst/>
        </a:prstGeom>
      </xdr:spPr>
    </xdr:pic>
    <xdr:clientData/>
  </xdr:twoCellAnchor>
  <xdr:twoCellAnchor editAs="oneCell">
    <xdr:from>
      <xdr:col>0</xdr:col>
      <xdr:colOff>274609</xdr:colOff>
      <xdr:row>0</xdr:row>
      <xdr:rowOff>116815</xdr:rowOff>
    </xdr:from>
    <xdr:to>
      <xdr:col>1</xdr:col>
      <xdr:colOff>371601</xdr:colOff>
      <xdr:row>0</xdr:row>
      <xdr:rowOff>723196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9" y="116815"/>
          <a:ext cx="708030" cy="606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504243</xdr:colOff>
      <xdr:row>0</xdr:row>
      <xdr:rowOff>109310</xdr:rowOff>
    </xdr:from>
    <xdr:to>
      <xdr:col>9</xdr:col>
      <xdr:colOff>1477348</xdr:colOff>
      <xdr:row>0</xdr:row>
      <xdr:rowOff>935494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11575655" y="109310"/>
          <a:ext cx="2172134" cy="826184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70037</xdr:rowOff>
    </xdr:from>
    <xdr:to>
      <xdr:col>1</xdr:col>
      <xdr:colOff>676275</xdr:colOff>
      <xdr:row>0</xdr:row>
      <xdr:rowOff>1034335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70037"/>
          <a:ext cx="1120588" cy="9642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1011161</xdr:colOff>
      <xdr:row>0</xdr:row>
      <xdr:rowOff>23812</xdr:rowOff>
    </xdr:from>
    <xdr:to>
      <xdr:col>20</xdr:col>
      <xdr:colOff>281635</xdr:colOff>
      <xdr:row>0</xdr:row>
      <xdr:rowOff>726679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18477630" y="23812"/>
          <a:ext cx="2199411" cy="702867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321468</xdr:colOff>
      <xdr:row>0</xdr:row>
      <xdr:rowOff>23813</xdr:rowOff>
    </xdr:from>
    <xdr:to>
      <xdr:col>1</xdr:col>
      <xdr:colOff>1131093</xdr:colOff>
      <xdr:row>0</xdr:row>
      <xdr:rowOff>718435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718" y="23813"/>
          <a:ext cx="809625" cy="6946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540392</xdr:colOff>
      <xdr:row>0</xdr:row>
      <xdr:rowOff>78357</xdr:rowOff>
    </xdr:from>
    <xdr:to>
      <xdr:col>7</xdr:col>
      <xdr:colOff>1070771</xdr:colOff>
      <xdr:row>0</xdr:row>
      <xdr:rowOff>712746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414567" y="78357"/>
          <a:ext cx="1932171" cy="634389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81720</xdr:rowOff>
    </xdr:from>
    <xdr:to>
      <xdr:col>1</xdr:col>
      <xdr:colOff>647700</xdr:colOff>
      <xdr:row>0</xdr:row>
      <xdr:rowOff>694622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81720"/>
          <a:ext cx="714375" cy="6129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733424</xdr:colOff>
      <xdr:row>0</xdr:row>
      <xdr:rowOff>133350</xdr:rowOff>
    </xdr:from>
    <xdr:ext cx="1278903" cy="577008"/>
    <xdr:pic>
      <xdr:nvPicPr>
        <xdr:cNvPr id="2" name="Imagem 1">
          <a:extLst>
            <a:ext uri="{FF2B5EF4-FFF2-40B4-BE49-F238E27FC236}">
              <a16:creationId xmlns:a16="http://schemas.microsoft.com/office/drawing/2014/main" id="{96C9E673-BC32-4847-93A1-05FB22230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534274" y="133350"/>
          <a:ext cx="1278903" cy="577008"/>
        </a:xfrm>
        <a:prstGeom prst="rect">
          <a:avLst/>
        </a:prstGeom>
      </xdr:spPr>
    </xdr:pic>
    <xdr:clientData/>
  </xdr:oneCellAnchor>
  <xdr:twoCellAnchor editAs="oneCell">
    <xdr:from>
      <xdr:col>0</xdr:col>
      <xdr:colOff>266700</xdr:colOff>
      <xdr:row>0</xdr:row>
      <xdr:rowOff>66675</xdr:rowOff>
    </xdr:from>
    <xdr:to>
      <xdr:col>0</xdr:col>
      <xdr:colOff>1076325</xdr:colOff>
      <xdr:row>0</xdr:row>
      <xdr:rowOff>761297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0B863D-A941-416D-9769-68F3ADA3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66675"/>
          <a:ext cx="809625" cy="6946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733424</xdr:colOff>
      <xdr:row>0</xdr:row>
      <xdr:rowOff>133350</xdr:rowOff>
    </xdr:from>
    <xdr:ext cx="1278903" cy="577008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458074" y="133350"/>
          <a:ext cx="1278903" cy="577008"/>
        </a:xfrm>
        <a:prstGeom prst="rect">
          <a:avLst/>
        </a:prstGeom>
      </xdr:spPr>
    </xdr:pic>
    <xdr:clientData/>
  </xdr:oneCellAnchor>
  <xdr:twoCellAnchor editAs="oneCell">
    <xdr:from>
      <xdr:col>0</xdr:col>
      <xdr:colOff>266700</xdr:colOff>
      <xdr:row>0</xdr:row>
      <xdr:rowOff>66675</xdr:rowOff>
    </xdr:from>
    <xdr:to>
      <xdr:col>0</xdr:col>
      <xdr:colOff>1076325</xdr:colOff>
      <xdr:row>0</xdr:row>
      <xdr:rowOff>761297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66675"/>
          <a:ext cx="809625" cy="6946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733424</xdr:colOff>
      <xdr:row>0</xdr:row>
      <xdr:rowOff>133350</xdr:rowOff>
    </xdr:from>
    <xdr:ext cx="1278903" cy="577008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2" t="34681" r="122" b="33457"/>
        <a:stretch/>
      </xdr:blipFill>
      <xdr:spPr>
        <a:xfrm>
          <a:off x="7458074" y="133350"/>
          <a:ext cx="1278903" cy="577008"/>
        </a:xfrm>
        <a:prstGeom prst="rect">
          <a:avLst/>
        </a:prstGeom>
      </xdr:spPr>
    </xdr:pic>
    <xdr:clientData/>
  </xdr:oneCellAnchor>
  <xdr:twoCellAnchor editAs="oneCell">
    <xdr:from>
      <xdr:col>0</xdr:col>
      <xdr:colOff>266700</xdr:colOff>
      <xdr:row>0</xdr:row>
      <xdr:rowOff>66675</xdr:rowOff>
    </xdr:from>
    <xdr:to>
      <xdr:col>0</xdr:col>
      <xdr:colOff>1076325</xdr:colOff>
      <xdr:row>0</xdr:row>
      <xdr:rowOff>761297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66675"/>
          <a:ext cx="809625" cy="694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"/>
  <sheetViews>
    <sheetView tabSelected="1" zoomScaleNormal="100" zoomScaleSheetLayoutView="100" workbookViewId="0">
      <selection activeCell="O29" sqref="O29"/>
    </sheetView>
  </sheetViews>
  <sheetFormatPr defaultRowHeight="15" x14ac:dyDescent="0.25"/>
  <sheetData/>
  <printOptions horizontalCentered="1"/>
  <pageMargins left="0.7" right="0.7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  <pageSetUpPr fitToPage="1"/>
  </sheetPr>
  <dimension ref="B1:H55"/>
  <sheetViews>
    <sheetView tabSelected="1" view="pageBreakPreview" zoomScaleNormal="100" zoomScaleSheetLayoutView="100" workbookViewId="0">
      <selection activeCell="O29" sqref="O29"/>
    </sheetView>
  </sheetViews>
  <sheetFormatPr defaultRowHeight="15" x14ac:dyDescent="0.25"/>
  <cols>
    <col min="2" max="2" width="12.28515625" customWidth="1"/>
    <col min="3" max="3" width="11" customWidth="1"/>
    <col min="4" max="4" width="42.42578125" customWidth="1"/>
    <col min="5" max="5" width="12.5703125" customWidth="1"/>
    <col min="7" max="7" width="15" customWidth="1"/>
    <col min="8" max="8" width="14.7109375" customWidth="1"/>
  </cols>
  <sheetData>
    <row r="1" spans="2:8" ht="57.75" customHeight="1" thickBot="1" x14ac:dyDescent="0.3">
      <c r="B1" s="521" t="s">
        <v>386</v>
      </c>
      <c r="C1" s="572"/>
      <c r="D1" s="572"/>
      <c r="E1" s="572"/>
      <c r="F1" s="572"/>
      <c r="G1" s="572"/>
      <c r="H1" s="573"/>
    </row>
    <row r="2" spans="2:8" x14ac:dyDescent="0.25">
      <c r="B2" s="113" t="s">
        <v>12</v>
      </c>
      <c r="C2" s="472" t="str">
        <f>COMPELE!B2</f>
        <v>ESCOLA MUNICIPAL DOMINGOS AZZONLINI</v>
      </c>
      <c r="D2" s="472"/>
      <c r="E2" s="472"/>
      <c r="F2" s="472"/>
      <c r="G2" s="472"/>
      <c r="H2" s="574"/>
    </row>
    <row r="3" spans="2:8" x14ac:dyDescent="0.25">
      <c r="B3" s="114" t="s">
        <v>13</v>
      </c>
      <c r="C3" s="474" t="str">
        <f>COMPELE!B3</f>
        <v>SANTO ANTÔNIO DO LESTE - MT</v>
      </c>
      <c r="D3" s="474"/>
      <c r="E3" s="474"/>
      <c r="F3" s="474"/>
      <c r="G3" s="474"/>
      <c r="H3" s="575"/>
    </row>
    <row r="4" spans="2:8" x14ac:dyDescent="0.25">
      <c r="B4" s="114" t="s">
        <v>14</v>
      </c>
      <c r="C4" s="474" t="str">
        <f>COMPELE!B4</f>
        <v>PREFEITURA MUNICIPAL DE SANTO ANTÔNIO DO LESTE - MT</v>
      </c>
      <c r="D4" s="474"/>
      <c r="E4" s="474"/>
      <c r="F4" s="474"/>
      <c r="G4" s="474"/>
      <c r="H4" s="575"/>
    </row>
    <row r="5" spans="2:8" ht="15.75" thickBot="1" x14ac:dyDescent="0.3">
      <c r="B5" s="115" t="s">
        <v>15</v>
      </c>
      <c r="C5" s="476">
        <f>COMPELE!B5</f>
        <v>44810</v>
      </c>
      <c r="D5" s="476"/>
      <c r="E5" s="476"/>
      <c r="F5" s="476"/>
      <c r="G5" s="476"/>
      <c r="H5" s="526"/>
    </row>
    <row r="6" spans="2:8" x14ac:dyDescent="0.25">
      <c r="B6" s="532" t="s">
        <v>739</v>
      </c>
      <c r="C6" s="533"/>
      <c r="D6" s="533"/>
      <c r="E6" s="533"/>
      <c r="F6" s="533"/>
      <c r="G6" s="533"/>
      <c r="H6" s="534"/>
    </row>
    <row r="7" spans="2:8" ht="15.75" thickBot="1" x14ac:dyDescent="0.3">
      <c r="B7" s="569"/>
      <c r="C7" s="570"/>
      <c r="D7" s="570"/>
      <c r="E7" s="570"/>
      <c r="F7" s="570"/>
      <c r="G7" s="570"/>
      <c r="H7" s="571"/>
    </row>
    <row r="8" spans="2:8" x14ac:dyDescent="0.25">
      <c r="B8" s="612" t="s">
        <v>813</v>
      </c>
      <c r="C8" s="613"/>
      <c r="D8" s="613"/>
      <c r="E8" s="613"/>
      <c r="F8" s="614"/>
      <c r="G8" s="615" t="s">
        <v>474</v>
      </c>
      <c r="H8" s="615" t="s">
        <v>31</v>
      </c>
    </row>
    <row r="9" spans="2:8" x14ac:dyDescent="0.25">
      <c r="B9" s="553"/>
      <c r="C9" s="554"/>
      <c r="D9" s="554"/>
      <c r="E9" s="554"/>
      <c r="F9" s="555"/>
      <c r="G9" s="616"/>
      <c r="H9" s="616"/>
    </row>
    <row r="10" spans="2:8" ht="25.5" x14ac:dyDescent="0.25">
      <c r="B10" s="556" t="s">
        <v>486</v>
      </c>
      <c r="C10" s="557"/>
      <c r="D10" s="557"/>
      <c r="E10" s="557"/>
      <c r="F10" s="558"/>
      <c r="G10" s="184" t="s">
        <v>475</v>
      </c>
      <c r="H10" s="184" t="s">
        <v>487</v>
      </c>
    </row>
    <row r="11" spans="2:8" x14ac:dyDescent="0.25">
      <c r="B11" s="286" t="s">
        <v>2</v>
      </c>
      <c r="C11" s="286" t="s">
        <v>476</v>
      </c>
      <c r="D11" s="286" t="s">
        <v>110</v>
      </c>
      <c r="E11" s="287" t="s">
        <v>477</v>
      </c>
      <c r="F11" s="286" t="s">
        <v>31</v>
      </c>
      <c r="G11" s="288" t="s">
        <v>478</v>
      </c>
      <c r="H11" s="288" t="s">
        <v>479</v>
      </c>
    </row>
    <row r="12" spans="2:8" ht="43.5" customHeight="1" x14ac:dyDescent="0.25">
      <c r="B12" s="3">
        <v>94963</v>
      </c>
      <c r="C12" s="3" t="s">
        <v>20</v>
      </c>
      <c r="D12" s="289" t="s">
        <v>488</v>
      </c>
      <c r="E12" s="185">
        <f>0.09*7</f>
        <v>0.63</v>
      </c>
      <c r="F12" s="181" t="s">
        <v>489</v>
      </c>
      <c r="G12" s="5">
        <v>343.2</v>
      </c>
      <c r="H12" s="5">
        <f>G12*E12</f>
        <v>216.21600000000001</v>
      </c>
    </row>
    <row r="13" spans="2:8" ht="35.1" customHeight="1" x14ac:dyDescent="0.25">
      <c r="B13" s="3">
        <v>88316</v>
      </c>
      <c r="C13" s="3" t="s">
        <v>20</v>
      </c>
      <c r="D13" s="289" t="s">
        <v>490</v>
      </c>
      <c r="E13" s="185">
        <f>4.5*7</f>
        <v>31.5</v>
      </c>
      <c r="F13" s="181" t="s">
        <v>35</v>
      </c>
      <c r="G13" s="5">
        <v>15.65</v>
      </c>
      <c r="H13" s="5">
        <f t="shared" ref="H13:H21" si="0">G13*E13</f>
        <v>492.97500000000002</v>
      </c>
    </row>
    <row r="14" spans="2:8" ht="35.1" customHeight="1" x14ac:dyDescent="0.25">
      <c r="B14" s="3">
        <v>88309</v>
      </c>
      <c r="C14" s="3" t="s">
        <v>20</v>
      </c>
      <c r="D14" s="289" t="s">
        <v>480</v>
      </c>
      <c r="E14" s="185">
        <f>4*7</f>
        <v>28</v>
      </c>
      <c r="F14" s="181" t="s">
        <v>35</v>
      </c>
      <c r="G14" s="5">
        <v>19.86</v>
      </c>
      <c r="H14" s="5">
        <f t="shared" si="0"/>
        <v>556.07999999999993</v>
      </c>
    </row>
    <row r="15" spans="2:8" ht="35.1" customHeight="1" x14ac:dyDescent="0.25">
      <c r="B15" s="3" t="s">
        <v>58</v>
      </c>
      <c r="C15" s="3" t="s">
        <v>481</v>
      </c>
      <c r="D15" s="289" t="s">
        <v>491</v>
      </c>
      <c r="E15" s="185">
        <v>1</v>
      </c>
      <c r="F15" s="181" t="s">
        <v>31</v>
      </c>
      <c r="G15" s="5">
        <f>H31</f>
        <v>3426.42</v>
      </c>
      <c r="H15" s="5">
        <f t="shared" si="0"/>
        <v>3426.42</v>
      </c>
    </row>
    <row r="16" spans="2:8" ht="35.1" customHeight="1" x14ac:dyDescent="0.25">
      <c r="B16" s="3" t="s">
        <v>58</v>
      </c>
      <c r="C16" s="3" t="s">
        <v>481</v>
      </c>
      <c r="D16" s="289" t="s">
        <v>492</v>
      </c>
      <c r="E16" s="185">
        <v>1</v>
      </c>
      <c r="F16" s="181" t="s">
        <v>31</v>
      </c>
      <c r="G16" s="5">
        <f>H35</f>
        <v>3365.42</v>
      </c>
      <c r="H16" s="5">
        <f>G16*E16</f>
        <v>3365.42</v>
      </c>
    </row>
    <row r="17" spans="2:8" ht="35.1" customHeight="1" x14ac:dyDescent="0.25">
      <c r="B17" s="3" t="s">
        <v>58</v>
      </c>
      <c r="C17" s="3" t="s">
        <v>481</v>
      </c>
      <c r="D17" s="289" t="s">
        <v>493</v>
      </c>
      <c r="E17" s="185">
        <v>1</v>
      </c>
      <c r="F17" s="181" t="s">
        <v>31</v>
      </c>
      <c r="G17" s="5">
        <f>H39</f>
        <v>2668.42</v>
      </c>
      <c r="H17" s="5">
        <f>G17*E17</f>
        <v>2668.42</v>
      </c>
    </row>
    <row r="18" spans="2:8" ht="35.1" customHeight="1" x14ac:dyDescent="0.25">
      <c r="B18" s="3" t="s">
        <v>58</v>
      </c>
      <c r="C18" s="3" t="s">
        <v>481</v>
      </c>
      <c r="D18" s="289" t="s">
        <v>494</v>
      </c>
      <c r="E18" s="185">
        <v>1</v>
      </c>
      <c r="F18" s="181" t="s">
        <v>31</v>
      </c>
      <c r="G18" s="5">
        <f>H42</f>
        <v>3054.93</v>
      </c>
      <c r="H18" s="5">
        <f t="shared" si="0"/>
        <v>3054.93</v>
      </c>
    </row>
    <row r="19" spans="2:8" ht="35.1" customHeight="1" x14ac:dyDescent="0.25">
      <c r="B19" s="3" t="s">
        <v>58</v>
      </c>
      <c r="C19" s="3" t="s">
        <v>481</v>
      </c>
      <c r="D19" s="289" t="s">
        <v>495</v>
      </c>
      <c r="E19" s="185">
        <v>1</v>
      </c>
      <c r="F19" s="181" t="s">
        <v>31</v>
      </c>
      <c r="G19" s="5">
        <f>H47</f>
        <v>3151.42</v>
      </c>
      <c r="H19" s="5">
        <f t="shared" si="0"/>
        <v>3151.42</v>
      </c>
    </row>
    <row r="20" spans="2:8" ht="35.1" customHeight="1" x14ac:dyDescent="0.25">
      <c r="B20" s="3" t="s">
        <v>58</v>
      </c>
      <c r="C20" s="3" t="s">
        <v>481</v>
      </c>
      <c r="D20" s="289" t="s">
        <v>496</v>
      </c>
      <c r="E20" s="185">
        <v>1</v>
      </c>
      <c r="F20" s="181" t="s">
        <v>31</v>
      </c>
      <c r="G20" s="5">
        <f>H50</f>
        <v>2777.68</v>
      </c>
      <c r="H20" s="5">
        <f t="shared" si="0"/>
        <v>2777.68</v>
      </c>
    </row>
    <row r="21" spans="2:8" ht="35.1" customHeight="1" x14ac:dyDescent="0.25">
      <c r="B21" s="3" t="s">
        <v>58</v>
      </c>
      <c r="C21" s="3" t="s">
        <v>481</v>
      </c>
      <c r="D21" s="289" t="s">
        <v>497</v>
      </c>
      <c r="E21" s="185">
        <v>1</v>
      </c>
      <c r="F21" s="181" t="s">
        <v>31</v>
      </c>
      <c r="G21" s="5">
        <f>H55</f>
        <v>7197.42</v>
      </c>
      <c r="H21" s="5">
        <f t="shared" si="0"/>
        <v>7197.42</v>
      </c>
    </row>
    <row r="22" spans="2:8" x14ac:dyDescent="0.25">
      <c r="B22" s="568"/>
      <c r="C22" s="568"/>
      <c r="D22" s="568"/>
      <c r="E22" s="568"/>
      <c r="F22" s="568"/>
      <c r="G22" s="568"/>
      <c r="H22" s="290">
        <f>TRUNC(SUM(H12:H21),2)</f>
        <v>26906.98</v>
      </c>
    </row>
    <row r="23" spans="2:8" x14ac:dyDescent="0.25">
      <c r="B23" s="609" t="s">
        <v>498</v>
      </c>
      <c r="C23" s="610"/>
      <c r="D23" s="610"/>
      <c r="E23" s="610"/>
      <c r="F23" s="610"/>
      <c r="G23" s="610"/>
      <c r="H23" s="611"/>
    </row>
    <row r="24" spans="2:8" x14ac:dyDescent="0.25">
      <c r="B24" s="600" t="s">
        <v>499</v>
      </c>
      <c r="C24" s="601"/>
      <c r="D24" s="601"/>
      <c r="E24" s="601"/>
      <c r="F24" s="601"/>
      <c r="G24" s="601"/>
      <c r="H24" s="602"/>
    </row>
    <row r="25" spans="2:8" x14ac:dyDescent="0.25">
      <c r="B25" s="600" t="s">
        <v>500</v>
      </c>
      <c r="C25" s="601"/>
      <c r="D25" s="601"/>
      <c r="E25" s="601"/>
      <c r="F25" s="601"/>
      <c r="G25" s="601"/>
      <c r="H25" s="602"/>
    </row>
    <row r="26" spans="2:8" x14ac:dyDescent="0.25">
      <c r="B26" s="603" t="s">
        <v>501</v>
      </c>
      <c r="C26" s="604"/>
      <c r="D26" s="604"/>
      <c r="E26" s="604"/>
      <c r="F26" s="604"/>
      <c r="G26" s="604"/>
      <c r="H26" s="605"/>
    </row>
    <row r="27" spans="2:8" x14ac:dyDescent="0.25">
      <c r="B27" s="606"/>
      <c r="C27" s="607"/>
      <c r="D27" s="607"/>
      <c r="E27" s="607"/>
      <c r="F27" s="607"/>
      <c r="G27" s="607"/>
      <c r="H27" s="608"/>
    </row>
    <row r="28" spans="2:8" ht="15.75" thickBot="1" x14ac:dyDescent="0.3">
      <c r="B28" s="591" t="s">
        <v>502</v>
      </c>
      <c r="C28" s="592"/>
      <c r="D28" s="592"/>
      <c r="E28" s="592"/>
      <c r="F28" s="592"/>
      <c r="G28" s="592"/>
      <c r="H28" s="593"/>
    </row>
    <row r="29" spans="2:8" x14ac:dyDescent="0.25">
      <c r="B29" s="594" t="s">
        <v>503</v>
      </c>
      <c r="C29" s="595"/>
      <c r="D29" s="596" t="s">
        <v>504</v>
      </c>
      <c r="E29" s="596"/>
      <c r="F29" s="596"/>
      <c r="G29" s="292" t="s">
        <v>505</v>
      </c>
      <c r="H29" s="293">
        <v>2000</v>
      </c>
    </row>
    <row r="30" spans="2:8" x14ac:dyDescent="0.25">
      <c r="B30" s="587" t="s">
        <v>506</v>
      </c>
      <c r="C30" s="588"/>
      <c r="D30" s="474" t="s">
        <v>507</v>
      </c>
      <c r="E30" s="474"/>
      <c r="F30" s="474"/>
      <c r="G30" s="180" t="s">
        <v>508</v>
      </c>
      <c r="H30" s="291">
        <v>4196.63</v>
      </c>
    </row>
    <row r="31" spans="2:8" ht="15.75" thickBot="1" x14ac:dyDescent="0.3">
      <c r="B31" s="589" t="s">
        <v>509</v>
      </c>
      <c r="C31" s="590"/>
      <c r="D31" s="579" t="s">
        <v>510</v>
      </c>
      <c r="E31" s="579"/>
      <c r="F31" s="579"/>
      <c r="G31" s="294" t="s">
        <v>511</v>
      </c>
      <c r="H31" s="295">
        <v>3426.42</v>
      </c>
    </row>
    <row r="32" spans="2:8" ht="15.75" thickBot="1" x14ac:dyDescent="0.3">
      <c r="B32" s="591" t="s">
        <v>512</v>
      </c>
      <c r="C32" s="592"/>
      <c r="D32" s="592"/>
      <c r="E32" s="592"/>
      <c r="F32" s="592"/>
      <c r="G32" s="592"/>
      <c r="H32" s="593"/>
    </row>
    <row r="33" spans="2:8" x14ac:dyDescent="0.25">
      <c r="B33" s="594" t="s">
        <v>503</v>
      </c>
      <c r="C33" s="595"/>
      <c r="D33" s="596" t="s">
        <v>504</v>
      </c>
      <c r="E33" s="596"/>
      <c r="F33" s="596"/>
      <c r="G33" s="292" t="s">
        <v>505</v>
      </c>
      <c r="H33" s="293">
        <v>2450</v>
      </c>
    </row>
    <row r="34" spans="2:8" x14ac:dyDescent="0.25">
      <c r="B34" s="587" t="s">
        <v>506</v>
      </c>
      <c r="C34" s="588"/>
      <c r="D34" s="474" t="s">
        <v>507</v>
      </c>
      <c r="E34" s="474"/>
      <c r="F34" s="474"/>
      <c r="G34" s="180" t="s">
        <v>508</v>
      </c>
      <c r="H34" s="291">
        <v>3950.05</v>
      </c>
    </row>
    <row r="35" spans="2:8" ht="15.75" thickBot="1" x14ac:dyDescent="0.3">
      <c r="B35" s="589" t="s">
        <v>509</v>
      </c>
      <c r="C35" s="590"/>
      <c r="D35" s="579" t="s">
        <v>510</v>
      </c>
      <c r="E35" s="579"/>
      <c r="F35" s="579"/>
      <c r="G35" s="294" t="s">
        <v>511</v>
      </c>
      <c r="H35" s="295">
        <v>3365.42</v>
      </c>
    </row>
    <row r="36" spans="2:8" ht="15.75" thickBot="1" x14ac:dyDescent="0.3">
      <c r="B36" s="591" t="s">
        <v>513</v>
      </c>
      <c r="C36" s="592"/>
      <c r="D36" s="592"/>
      <c r="E36" s="592"/>
      <c r="F36" s="592"/>
      <c r="G36" s="592"/>
      <c r="H36" s="593"/>
    </row>
    <row r="37" spans="2:8" x14ac:dyDescent="0.25">
      <c r="B37" s="594" t="s">
        <v>503</v>
      </c>
      <c r="C37" s="595"/>
      <c r="D37" s="596" t="s">
        <v>504</v>
      </c>
      <c r="E37" s="596"/>
      <c r="F37" s="596"/>
      <c r="G37" s="292" t="s">
        <v>505</v>
      </c>
      <c r="H37" s="293">
        <v>2100</v>
      </c>
    </row>
    <row r="38" spans="2:8" x14ac:dyDescent="0.25">
      <c r="B38" s="587" t="s">
        <v>506</v>
      </c>
      <c r="C38" s="588"/>
      <c r="D38" s="474" t="s">
        <v>507</v>
      </c>
      <c r="E38" s="474"/>
      <c r="F38" s="474"/>
      <c r="G38" s="180" t="s">
        <v>508</v>
      </c>
      <c r="H38" s="291">
        <v>5123.84</v>
      </c>
    </row>
    <row r="39" spans="2:8" ht="15.75" thickBot="1" x14ac:dyDescent="0.3">
      <c r="B39" s="597" t="s">
        <v>509</v>
      </c>
      <c r="C39" s="598"/>
      <c r="D39" s="599" t="s">
        <v>510</v>
      </c>
      <c r="E39" s="599"/>
      <c r="F39" s="599"/>
      <c r="G39" s="296" t="s">
        <v>511</v>
      </c>
      <c r="H39" s="297">
        <v>2668.42</v>
      </c>
    </row>
    <row r="40" spans="2:8" x14ac:dyDescent="0.25">
      <c r="B40" s="584" t="s">
        <v>514</v>
      </c>
      <c r="C40" s="585"/>
      <c r="D40" s="585"/>
      <c r="E40" s="585"/>
      <c r="F40" s="585"/>
      <c r="G40" s="585"/>
      <c r="H40" s="586"/>
    </row>
    <row r="41" spans="2:8" x14ac:dyDescent="0.25">
      <c r="B41" s="576" t="s">
        <v>503</v>
      </c>
      <c r="C41" s="577"/>
      <c r="D41" s="577" t="s">
        <v>504</v>
      </c>
      <c r="E41" s="577"/>
      <c r="F41" s="577"/>
      <c r="G41" s="298" t="s">
        <v>505</v>
      </c>
      <c r="H41" s="299">
        <v>1650</v>
      </c>
    </row>
    <row r="42" spans="2:8" x14ac:dyDescent="0.25">
      <c r="B42" s="580" t="s">
        <v>506</v>
      </c>
      <c r="C42" s="581"/>
      <c r="D42" s="581" t="s">
        <v>507</v>
      </c>
      <c r="E42" s="581"/>
      <c r="F42" s="581"/>
      <c r="G42" s="300" t="s">
        <v>508</v>
      </c>
      <c r="H42" s="301">
        <v>3054.93</v>
      </c>
    </row>
    <row r="43" spans="2:8" ht="15.75" thickBot="1" x14ac:dyDescent="0.3">
      <c r="B43" s="582" t="s">
        <v>509</v>
      </c>
      <c r="C43" s="583"/>
      <c r="D43" s="583" t="s">
        <v>510</v>
      </c>
      <c r="E43" s="583"/>
      <c r="F43" s="583"/>
      <c r="G43" s="302" t="s">
        <v>511</v>
      </c>
      <c r="H43" s="303">
        <v>3621.42</v>
      </c>
    </row>
    <row r="44" spans="2:8" x14ac:dyDescent="0.25">
      <c r="B44" s="584" t="s">
        <v>515</v>
      </c>
      <c r="C44" s="585"/>
      <c r="D44" s="585"/>
      <c r="E44" s="585"/>
      <c r="F44" s="585"/>
      <c r="G44" s="585"/>
      <c r="H44" s="586"/>
    </row>
    <row r="45" spans="2:8" x14ac:dyDescent="0.25">
      <c r="B45" s="576" t="s">
        <v>503</v>
      </c>
      <c r="C45" s="577"/>
      <c r="D45" s="577" t="s">
        <v>504</v>
      </c>
      <c r="E45" s="577"/>
      <c r="F45" s="577"/>
      <c r="G45" s="298" t="s">
        <v>505</v>
      </c>
      <c r="H45" s="299">
        <v>2100</v>
      </c>
    </row>
    <row r="46" spans="2:8" x14ac:dyDescent="0.25">
      <c r="B46" s="576" t="s">
        <v>506</v>
      </c>
      <c r="C46" s="577"/>
      <c r="D46" s="577" t="s">
        <v>507</v>
      </c>
      <c r="E46" s="577"/>
      <c r="F46" s="577"/>
      <c r="G46" s="298" t="s">
        <v>508</v>
      </c>
      <c r="H46" s="299">
        <v>4101.72</v>
      </c>
    </row>
    <row r="47" spans="2:8" ht="15.75" thickBot="1" x14ac:dyDescent="0.3">
      <c r="B47" s="578" t="s">
        <v>509</v>
      </c>
      <c r="C47" s="579"/>
      <c r="D47" s="579" t="s">
        <v>510</v>
      </c>
      <c r="E47" s="579"/>
      <c r="F47" s="579"/>
      <c r="G47" s="294" t="s">
        <v>511</v>
      </c>
      <c r="H47" s="295">
        <v>3151.42</v>
      </c>
    </row>
    <row r="48" spans="2:8" x14ac:dyDescent="0.25">
      <c r="B48" s="584" t="s">
        <v>516</v>
      </c>
      <c r="C48" s="585"/>
      <c r="D48" s="585"/>
      <c r="E48" s="585"/>
      <c r="F48" s="585"/>
      <c r="G48" s="585"/>
      <c r="H48" s="586"/>
    </row>
    <row r="49" spans="2:8" x14ac:dyDescent="0.25">
      <c r="B49" s="576" t="s">
        <v>503</v>
      </c>
      <c r="C49" s="577"/>
      <c r="D49" s="577" t="s">
        <v>504</v>
      </c>
      <c r="E49" s="577"/>
      <c r="F49" s="577"/>
      <c r="G49" s="298" t="s">
        <v>505</v>
      </c>
      <c r="H49" s="299">
        <v>1550</v>
      </c>
    </row>
    <row r="50" spans="2:8" x14ac:dyDescent="0.25">
      <c r="B50" s="580" t="s">
        <v>506</v>
      </c>
      <c r="C50" s="581"/>
      <c r="D50" s="581" t="s">
        <v>507</v>
      </c>
      <c r="E50" s="581"/>
      <c r="F50" s="581"/>
      <c r="G50" s="300" t="s">
        <v>508</v>
      </c>
      <c r="H50" s="301">
        <v>2777.68</v>
      </c>
    </row>
    <row r="51" spans="2:8" ht="15.75" thickBot="1" x14ac:dyDescent="0.3">
      <c r="B51" s="582" t="s">
        <v>509</v>
      </c>
      <c r="C51" s="583"/>
      <c r="D51" s="583" t="s">
        <v>510</v>
      </c>
      <c r="E51" s="583"/>
      <c r="F51" s="583"/>
      <c r="G51" s="302" t="s">
        <v>511</v>
      </c>
      <c r="H51" s="303">
        <v>3401.42</v>
      </c>
    </row>
    <row r="52" spans="2:8" x14ac:dyDescent="0.25">
      <c r="B52" s="584" t="s">
        <v>517</v>
      </c>
      <c r="C52" s="585"/>
      <c r="D52" s="585"/>
      <c r="E52" s="585"/>
      <c r="F52" s="585"/>
      <c r="G52" s="585"/>
      <c r="H52" s="586"/>
    </row>
    <row r="53" spans="2:8" x14ac:dyDescent="0.25">
      <c r="B53" s="576" t="s">
        <v>503</v>
      </c>
      <c r="C53" s="577"/>
      <c r="D53" s="577" t="s">
        <v>504</v>
      </c>
      <c r="E53" s="577"/>
      <c r="F53" s="577"/>
      <c r="G53" s="298" t="s">
        <v>505</v>
      </c>
      <c r="H53" s="299">
        <v>7150</v>
      </c>
    </row>
    <row r="54" spans="2:8" x14ac:dyDescent="0.25">
      <c r="B54" s="576" t="s">
        <v>506</v>
      </c>
      <c r="C54" s="577"/>
      <c r="D54" s="577" t="s">
        <v>507</v>
      </c>
      <c r="E54" s="577"/>
      <c r="F54" s="577"/>
      <c r="G54" s="298" t="s">
        <v>508</v>
      </c>
      <c r="H54" s="299">
        <v>11874</v>
      </c>
    </row>
    <row r="55" spans="2:8" ht="15.75" thickBot="1" x14ac:dyDescent="0.3">
      <c r="B55" s="578" t="s">
        <v>509</v>
      </c>
      <c r="C55" s="579"/>
      <c r="D55" s="579" t="s">
        <v>510</v>
      </c>
      <c r="E55" s="579"/>
      <c r="F55" s="579"/>
      <c r="G55" s="294" t="s">
        <v>511</v>
      </c>
      <c r="H55" s="295">
        <v>7197.42</v>
      </c>
    </row>
  </sheetData>
  <mergeCells count="65">
    <mergeCell ref="B23:H23"/>
    <mergeCell ref="B8:F9"/>
    <mergeCell ref="G8:G9"/>
    <mergeCell ref="H8:H9"/>
    <mergeCell ref="B10:F10"/>
    <mergeCell ref="B22:G22"/>
    <mergeCell ref="B33:C33"/>
    <mergeCell ref="D33:F33"/>
    <mergeCell ref="B24:H24"/>
    <mergeCell ref="B25:H25"/>
    <mergeCell ref="B26:H26"/>
    <mergeCell ref="B27:H27"/>
    <mergeCell ref="B28:H28"/>
    <mergeCell ref="B29:C29"/>
    <mergeCell ref="D29:F29"/>
    <mergeCell ref="B30:C30"/>
    <mergeCell ref="D30:F30"/>
    <mergeCell ref="B31:C31"/>
    <mergeCell ref="D31:F31"/>
    <mergeCell ref="B32:H32"/>
    <mergeCell ref="B41:C41"/>
    <mergeCell ref="D41:F41"/>
    <mergeCell ref="B34:C34"/>
    <mergeCell ref="D34:F34"/>
    <mergeCell ref="B35:C35"/>
    <mergeCell ref="D35:F35"/>
    <mergeCell ref="B36:H36"/>
    <mergeCell ref="B37:C37"/>
    <mergeCell ref="D37:F37"/>
    <mergeCell ref="B38:C38"/>
    <mergeCell ref="D38:F38"/>
    <mergeCell ref="B39:C39"/>
    <mergeCell ref="D39:F39"/>
    <mergeCell ref="B40:H40"/>
    <mergeCell ref="B49:C49"/>
    <mergeCell ref="D49:F49"/>
    <mergeCell ref="B42:C42"/>
    <mergeCell ref="D42:F42"/>
    <mergeCell ref="B43:C43"/>
    <mergeCell ref="D43:F43"/>
    <mergeCell ref="B44:H44"/>
    <mergeCell ref="B45:C45"/>
    <mergeCell ref="D45:F45"/>
    <mergeCell ref="B46:C46"/>
    <mergeCell ref="D46:F46"/>
    <mergeCell ref="B47:C47"/>
    <mergeCell ref="D47:F47"/>
    <mergeCell ref="B48:H48"/>
    <mergeCell ref="B54:C54"/>
    <mergeCell ref="D54:F54"/>
    <mergeCell ref="B55:C55"/>
    <mergeCell ref="D55:F55"/>
    <mergeCell ref="B50:C50"/>
    <mergeCell ref="D50:F50"/>
    <mergeCell ref="B51:C51"/>
    <mergeCell ref="D51:F51"/>
    <mergeCell ref="B52:H52"/>
    <mergeCell ref="B53:C53"/>
    <mergeCell ref="D53:F53"/>
    <mergeCell ref="B6:H7"/>
    <mergeCell ref="B1:H1"/>
    <mergeCell ref="C2:H2"/>
    <mergeCell ref="C3:H3"/>
    <mergeCell ref="C4:H4"/>
    <mergeCell ref="C5:H5"/>
  </mergeCells>
  <pageMargins left="0.51181102362204722" right="0.51181102362204722" top="0.98425196850393704" bottom="0.98425196850393704" header="0.51181102362204722" footer="0.51181102362204722"/>
  <pageSetup paperSize="9" scale="7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>
    <tabColor theme="3" tint="-0.249977111117893"/>
    <pageSetUpPr fitToPage="1"/>
  </sheetPr>
  <dimension ref="A1:L251"/>
  <sheetViews>
    <sheetView tabSelected="1" view="pageBreakPreview" zoomScale="112" zoomScaleNormal="90" zoomScaleSheetLayoutView="112" workbookViewId="0">
      <selection activeCell="O29" sqref="O29"/>
    </sheetView>
  </sheetViews>
  <sheetFormatPr defaultRowHeight="15" x14ac:dyDescent="0.25"/>
  <cols>
    <col min="1" max="1" width="28.5703125" style="36" customWidth="1"/>
    <col min="2" max="2" width="11.5703125" style="36" customWidth="1"/>
    <col min="3" max="3" width="14.85546875" style="38" customWidth="1"/>
    <col min="4" max="4" width="17.42578125" style="35" customWidth="1"/>
    <col min="5" max="5" width="11.28515625" style="37" customWidth="1"/>
    <col min="6" max="6" width="14.5703125" style="35" customWidth="1"/>
    <col min="7" max="7" width="18.42578125" style="35" customWidth="1"/>
    <col min="8" max="8" width="19.5703125" style="35" customWidth="1"/>
    <col min="9" max="9" width="19.140625" style="35" customWidth="1"/>
    <col min="10" max="10" width="17.42578125" style="35" customWidth="1"/>
    <col min="11" max="16384" width="9.140625" style="35"/>
  </cols>
  <sheetData>
    <row r="1" spans="1:12" customFormat="1" ht="61.5" customHeight="1" thickBot="1" x14ac:dyDescent="0.3">
      <c r="A1" s="674" t="s">
        <v>386</v>
      </c>
      <c r="B1" s="522"/>
      <c r="C1" s="522"/>
      <c r="D1" s="522"/>
      <c r="E1" s="522"/>
      <c r="F1" s="522"/>
      <c r="G1" s="522"/>
      <c r="H1" s="522"/>
      <c r="I1" s="523"/>
      <c r="J1" s="18"/>
      <c r="K1" s="18"/>
      <c r="L1" s="19"/>
    </row>
    <row r="2" spans="1:12" customFormat="1" x14ac:dyDescent="0.25">
      <c r="A2" s="339" t="s">
        <v>12</v>
      </c>
      <c r="B2" s="675" t="str">
        <f>RESUMO!B2</f>
        <v>ESCOLA MUNICIPAL DOMINGOS AZZONLINI</v>
      </c>
      <c r="C2" s="676"/>
      <c r="D2" s="676"/>
      <c r="E2" s="676"/>
      <c r="F2" s="676"/>
      <c r="G2" s="676"/>
      <c r="H2" s="676"/>
      <c r="I2" s="677"/>
    </row>
    <row r="3" spans="1:12" customFormat="1" x14ac:dyDescent="0.25">
      <c r="A3" s="133" t="s">
        <v>13</v>
      </c>
      <c r="B3" s="678" t="str">
        <f>RESUMO!B3</f>
        <v>SANTO ANTÔNIO DO LESTE - MT</v>
      </c>
      <c r="C3" s="562"/>
      <c r="D3" s="562"/>
      <c r="E3" s="562"/>
      <c r="F3" s="562"/>
      <c r="G3" s="562"/>
      <c r="H3" s="562"/>
      <c r="I3" s="679"/>
      <c r="J3" t="s">
        <v>343</v>
      </c>
    </row>
    <row r="4" spans="1:12" customFormat="1" x14ac:dyDescent="0.25">
      <c r="A4" s="133" t="s">
        <v>14</v>
      </c>
      <c r="B4" s="678" t="str">
        <f>RESUMO!B4</f>
        <v>PREFEITURA MUNICIPAL DE SANTO ANTÔNIO DO LESTE - MT</v>
      </c>
      <c r="C4" s="562"/>
      <c r="D4" s="562"/>
      <c r="E4" s="562"/>
      <c r="F4" s="562"/>
      <c r="G4" s="562"/>
      <c r="H4" s="562"/>
      <c r="I4" s="679"/>
    </row>
    <row r="5" spans="1:12" customFormat="1" ht="15.75" thickBot="1" x14ac:dyDescent="0.3">
      <c r="A5" s="340" t="s">
        <v>15</v>
      </c>
      <c r="B5" s="680">
        <f>RESUMO!B5</f>
        <v>44810</v>
      </c>
      <c r="C5" s="681"/>
      <c r="D5" s="681"/>
      <c r="E5" s="681"/>
      <c r="F5" s="681"/>
      <c r="G5" s="681"/>
      <c r="H5" s="681"/>
      <c r="I5" s="682"/>
    </row>
    <row r="6" spans="1:12" customFormat="1" x14ac:dyDescent="0.25">
      <c r="A6" s="668" t="s">
        <v>306</v>
      </c>
      <c r="B6" s="669"/>
      <c r="C6" s="669"/>
      <c r="D6" s="669"/>
      <c r="E6" s="669"/>
      <c r="F6" s="669"/>
      <c r="G6" s="669"/>
      <c r="H6" s="669"/>
      <c r="I6" s="670"/>
    </row>
    <row r="7" spans="1:12" customFormat="1" ht="15.75" thickBot="1" x14ac:dyDescent="0.3">
      <c r="A7" s="569"/>
      <c r="B7" s="570"/>
      <c r="C7" s="570"/>
      <c r="D7" s="570"/>
      <c r="E7" s="570"/>
      <c r="F7" s="570"/>
      <c r="G7" s="570"/>
      <c r="H7" s="570"/>
      <c r="I7" s="571"/>
    </row>
    <row r="8" spans="1:12" ht="30" customHeight="1" x14ac:dyDescent="0.25">
      <c r="A8" s="664" t="s">
        <v>178</v>
      </c>
      <c r="B8" s="671"/>
      <c r="C8" s="671"/>
      <c r="D8" s="671"/>
      <c r="E8" s="671"/>
      <c r="F8" s="671"/>
      <c r="G8" s="671"/>
      <c r="H8" s="671"/>
      <c r="I8" s="672"/>
      <c r="J8" s="104"/>
    </row>
    <row r="9" spans="1:12" x14ac:dyDescent="0.25">
      <c r="A9" s="648" t="s">
        <v>162</v>
      </c>
      <c r="B9" s="654" t="s">
        <v>6</v>
      </c>
      <c r="C9" s="650" t="s">
        <v>163</v>
      </c>
      <c r="D9" s="652" t="s">
        <v>164</v>
      </c>
      <c r="E9" s="652" t="s">
        <v>165</v>
      </c>
      <c r="F9" s="656" t="s">
        <v>322</v>
      </c>
      <c r="G9" s="657"/>
      <c r="H9" s="654" t="s">
        <v>301</v>
      </c>
      <c r="I9" s="673" t="s">
        <v>177</v>
      </c>
    </row>
    <row r="10" spans="1:12" s="93" customFormat="1" x14ac:dyDescent="0.25">
      <c r="A10" s="649"/>
      <c r="B10" s="655"/>
      <c r="C10" s="651"/>
      <c r="D10" s="653"/>
      <c r="E10" s="653"/>
      <c r="F10" s="94" t="s">
        <v>163</v>
      </c>
      <c r="G10" s="94" t="s">
        <v>164</v>
      </c>
      <c r="H10" s="655"/>
      <c r="I10" s="647"/>
    </row>
    <row r="11" spans="1:12" s="93" customFormat="1" x14ac:dyDescent="0.25">
      <c r="A11" s="341" t="s">
        <v>440</v>
      </c>
      <c r="B11" s="39">
        <v>4</v>
      </c>
      <c r="C11" s="50">
        <v>0.95</v>
      </c>
      <c r="D11" s="4">
        <v>1.05</v>
      </c>
      <c r="E11" s="4">
        <v>1</v>
      </c>
      <c r="F11" s="4">
        <f>C11+0.2</f>
        <v>1.1499999999999999</v>
      </c>
      <c r="G11" s="4">
        <f>D11+0.2</f>
        <v>1.25</v>
      </c>
      <c r="H11" s="326">
        <f>C11*D11*B11</f>
        <v>3.9899999999999998</v>
      </c>
      <c r="I11" s="342">
        <f>F11*G11*E11*B11</f>
        <v>5.75</v>
      </c>
    </row>
    <row r="12" spans="1:12" s="93" customFormat="1" x14ac:dyDescent="0.25">
      <c r="A12" s="341" t="s">
        <v>441</v>
      </c>
      <c r="B12" s="39">
        <v>2</v>
      </c>
      <c r="C12" s="50">
        <v>1</v>
      </c>
      <c r="D12" s="4">
        <v>1.1000000000000001</v>
      </c>
      <c r="E12" s="4">
        <v>1</v>
      </c>
      <c r="F12" s="4">
        <f t="shared" ref="F12:G13" si="0">C12+0.2</f>
        <v>1.2</v>
      </c>
      <c r="G12" s="4">
        <f t="shared" si="0"/>
        <v>1.3</v>
      </c>
      <c r="H12" s="326">
        <f t="shared" ref="H12:H13" si="1">C12*D12*B12</f>
        <v>2.2000000000000002</v>
      </c>
      <c r="I12" s="342">
        <f t="shared" ref="I12:I13" si="2">F12*G12*E12*B12</f>
        <v>3.12</v>
      </c>
    </row>
    <row r="13" spans="1:12" s="93" customFormat="1" x14ac:dyDescent="0.25">
      <c r="A13" s="341" t="s">
        <v>442</v>
      </c>
      <c r="B13" s="39">
        <v>2</v>
      </c>
      <c r="C13" s="50">
        <v>0.55000000000000004</v>
      </c>
      <c r="D13" s="4">
        <v>0.65</v>
      </c>
      <c r="E13" s="4">
        <v>1</v>
      </c>
      <c r="F13" s="4">
        <f t="shared" si="0"/>
        <v>0.75</v>
      </c>
      <c r="G13" s="4">
        <f t="shared" si="0"/>
        <v>0.85000000000000009</v>
      </c>
      <c r="H13" s="326">
        <f t="shared" si="1"/>
        <v>0.71500000000000008</v>
      </c>
      <c r="I13" s="342">
        <f t="shared" si="2"/>
        <v>1.2750000000000001</v>
      </c>
    </row>
    <row r="14" spans="1:12" s="93" customFormat="1" x14ac:dyDescent="0.25">
      <c r="A14" s="658" t="s">
        <v>443</v>
      </c>
      <c r="B14" s="659"/>
      <c r="C14" s="659"/>
      <c r="D14" s="659"/>
      <c r="E14" s="659"/>
      <c r="F14" s="659"/>
      <c r="G14" s="329" t="s">
        <v>158</v>
      </c>
      <c r="H14" s="328">
        <f>SUM(H11:H13)</f>
        <v>6.9049999999999994</v>
      </c>
      <c r="I14" s="343">
        <f>SUM(I11:I13)</f>
        <v>10.145000000000001</v>
      </c>
    </row>
    <row r="15" spans="1:12" s="93" customFormat="1" x14ac:dyDescent="0.25">
      <c r="A15" s="344"/>
      <c r="B15" s="43"/>
      <c r="C15" s="44"/>
      <c r="D15" s="45"/>
      <c r="E15" s="45"/>
      <c r="F15" s="45"/>
      <c r="G15" s="45"/>
      <c r="H15" s="45"/>
      <c r="I15" s="345"/>
    </row>
    <row r="16" spans="1:12" s="93" customFormat="1" x14ac:dyDescent="0.25">
      <c r="A16" s="625" t="s">
        <v>102</v>
      </c>
      <c r="B16" s="660"/>
      <c r="C16" s="660"/>
      <c r="D16" s="660"/>
      <c r="E16" s="660"/>
      <c r="F16" s="660"/>
      <c r="G16" s="660"/>
      <c r="H16" s="660"/>
      <c r="I16" s="661"/>
    </row>
    <row r="17" spans="1:9" s="93" customFormat="1" x14ac:dyDescent="0.25">
      <c r="A17" s="662" t="s">
        <v>162</v>
      </c>
      <c r="B17" s="663"/>
      <c r="C17" s="666" t="s">
        <v>163</v>
      </c>
      <c r="D17" s="667" t="s">
        <v>164</v>
      </c>
      <c r="E17" s="667" t="s">
        <v>165</v>
      </c>
      <c r="F17" s="106" t="s">
        <v>322</v>
      </c>
      <c r="G17" s="619" t="s">
        <v>301</v>
      </c>
      <c r="H17" s="619"/>
      <c r="I17" s="646" t="s">
        <v>177</v>
      </c>
    </row>
    <row r="18" spans="1:9" s="93" customFormat="1" x14ac:dyDescent="0.25">
      <c r="A18" s="664"/>
      <c r="B18" s="665"/>
      <c r="C18" s="651"/>
      <c r="D18" s="653"/>
      <c r="E18" s="653"/>
      <c r="F18" s="105" t="s">
        <v>163</v>
      </c>
      <c r="G18" s="619"/>
      <c r="H18" s="619"/>
      <c r="I18" s="647"/>
    </row>
    <row r="19" spans="1:9" s="93" customFormat="1" x14ac:dyDescent="0.25">
      <c r="A19" s="629" t="s">
        <v>166</v>
      </c>
      <c r="B19" s="630"/>
      <c r="C19" s="40">
        <v>0.15</v>
      </c>
      <c r="D19" s="326">
        <v>5.3109999999999999</v>
      </c>
      <c r="E19" s="4">
        <v>0.25</v>
      </c>
      <c r="F19" s="4">
        <f>C19+0.2</f>
        <v>0.35</v>
      </c>
      <c r="G19" s="635">
        <f>C19*D19</f>
        <v>0.79664999999999997</v>
      </c>
      <c r="H19" s="635"/>
      <c r="I19" s="342">
        <f t="shared" ref="I19:I31" si="3">F19*D19*E19</f>
        <v>0.46471249999999997</v>
      </c>
    </row>
    <row r="20" spans="1:9" s="93" customFormat="1" x14ac:dyDescent="0.25">
      <c r="A20" s="629" t="s">
        <v>167</v>
      </c>
      <c r="B20" s="630"/>
      <c r="C20" s="40">
        <v>0.14000000000000001</v>
      </c>
      <c r="D20" s="326">
        <v>3.1429999999999998</v>
      </c>
      <c r="E20" s="4">
        <v>0.2</v>
      </c>
      <c r="F20" s="4">
        <f t="shared" ref="F20:F31" si="4">C20+0.2</f>
        <v>0.34</v>
      </c>
      <c r="G20" s="635">
        <f t="shared" ref="G20:G31" si="5">C20*D20</f>
        <v>0.44002000000000002</v>
      </c>
      <c r="H20" s="635"/>
      <c r="I20" s="342">
        <f t="shared" si="3"/>
        <v>0.213724</v>
      </c>
    </row>
    <row r="21" spans="1:9" s="93" customFormat="1" x14ac:dyDescent="0.25">
      <c r="A21" s="629" t="s">
        <v>168</v>
      </c>
      <c r="B21" s="630"/>
      <c r="C21" s="40">
        <v>0.15</v>
      </c>
      <c r="D21" s="326">
        <v>5.3090000000000002</v>
      </c>
      <c r="E21" s="4">
        <v>0.25</v>
      </c>
      <c r="F21" s="4">
        <f t="shared" si="4"/>
        <v>0.35</v>
      </c>
      <c r="G21" s="635">
        <f t="shared" si="5"/>
        <v>0.79635</v>
      </c>
      <c r="H21" s="635"/>
      <c r="I21" s="342">
        <f t="shared" si="3"/>
        <v>0.46453749999999999</v>
      </c>
    </row>
    <row r="22" spans="1:9" s="93" customFormat="1" x14ac:dyDescent="0.25">
      <c r="A22" s="629" t="s">
        <v>169</v>
      </c>
      <c r="B22" s="630"/>
      <c r="C22" s="40">
        <v>0.14000000000000001</v>
      </c>
      <c r="D22" s="326">
        <v>2.84</v>
      </c>
      <c r="E22" s="4">
        <v>0.2</v>
      </c>
      <c r="F22" s="4">
        <f t="shared" si="4"/>
        <v>0.34</v>
      </c>
      <c r="G22" s="635">
        <f t="shared" si="5"/>
        <v>0.39760000000000001</v>
      </c>
      <c r="H22" s="635"/>
      <c r="I22" s="342">
        <f t="shared" si="3"/>
        <v>0.19312000000000001</v>
      </c>
    </row>
    <row r="23" spans="1:9" s="93" customFormat="1" x14ac:dyDescent="0.25">
      <c r="A23" s="629" t="s">
        <v>170</v>
      </c>
      <c r="B23" s="630"/>
      <c r="C23" s="40">
        <v>0.15</v>
      </c>
      <c r="D23" s="326">
        <v>5.31</v>
      </c>
      <c r="E23" s="4">
        <v>0.25</v>
      </c>
      <c r="F23" s="4">
        <f t="shared" si="4"/>
        <v>0.35</v>
      </c>
      <c r="G23" s="635">
        <f t="shared" si="5"/>
        <v>0.79649999999999987</v>
      </c>
      <c r="H23" s="635"/>
      <c r="I23" s="342">
        <f t="shared" si="3"/>
        <v>0.46462499999999995</v>
      </c>
    </row>
    <row r="24" spans="1:9" s="93" customFormat="1" x14ac:dyDescent="0.25">
      <c r="A24" s="629" t="s">
        <v>171</v>
      </c>
      <c r="B24" s="630"/>
      <c r="C24" s="40">
        <v>0.14000000000000001</v>
      </c>
      <c r="D24" s="326">
        <v>2.5499999999999998</v>
      </c>
      <c r="E24" s="4">
        <v>0.2</v>
      </c>
      <c r="F24" s="4">
        <f t="shared" si="4"/>
        <v>0.34</v>
      </c>
      <c r="G24" s="635">
        <f t="shared" si="5"/>
        <v>0.35699999999999998</v>
      </c>
      <c r="H24" s="635"/>
      <c r="I24" s="342">
        <f t="shared" si="3"/>
        <v>0.1734</v>
      </c>
    </row>
    <row r="25" spans="1:9" s="93" customFormat="1" x14ac:dyDescent="0.25">
      <c r="A25" s="629" t="s">
        <v>172</v>
      </c>
      <c r="B25" s="630"/>
      <c r="C25" s="40">
        <v>0.15</v>
      </c>
      <c r="D25" s="326">
        <v>5.3090000000000002</v>
      </c>
      <c r="E25" s="4">
        <v>0.25</v>
      </c>
      <c r="F25" s="4">
        <f t="shared" si="4"/>
        <v>0.35</v>
      </c>
      <c r="G25" s="635">
        <f t="shared" si="5"/>
        <v>0.79635</v>
      </c>
      <c r="H25" s="635"/>
      <c r="I25" s="342">
        <f t="shared" si="3"/>
        <v>0.46453749999999999</v>
      </c>
    </row>
    <row r="26" spans="1:9" s="93" customFormat="1" x14ac:dyDescent="0.25">
      <c r="A26" s="629" t="s">
        <v>173</v>
      </c>
      <c r="B26" s="630"/>
      <c r="C26" s="40">
        <v>0.14000000000000001</v>
      </c>
      <c r="D26" s="326">
        <v>3.1</v>
      </c>
      <c r="E26" s="4">
        <v>0.2</v>
      </c>
      <c r="F26" s="4">
        <f t="shared" si="4"/>
        <v>0.34</v>
      </c>
      <c r="G26" s="635">
        <f t="shared" si="5"/>
        <v>0.43400000000000005</v>
      </c>
      <c r="H26" s="635"/>
      <c r="I26" s="342">
        <f t="shared" si="3"/>
        <v>0.21080000000000002</v>
      </c>
    </row>
    <row r="27" spans="1:9" s="93" customFormat="1" x14ac:dyDescent="0.25">
      <c r="A27" s="629" t="s">
        <v>174</v>
      </c>
      <c r="B27" s="630"/>
      <c r="C27" s="40">
        <v>0.14000000000000001</v>
      </c>
      <c r="D27" s="326">
        <v>3.4</v>
      </c>
      <c r="E27" s="4">
        <v>0.2</v>
      </c>
      <c r="F27" s="4">
        <f t="shared" si="4"/>
        <v>0.34</v>
      </c>
      <c r="G27" s="635">
        <f t="shared" si="5"/>
        <v>0.47600000000000003</v>
      </c>
      <c r="H27" s="635"/>
      <c r="I27" s="342">
        <f t="shared" si="3"/>
        <v>0.23120000000000004</v>
      </c>
    </row>
    <row r="28" spans="1:9" s="93" customFormat="1" x14ac:dyDescent="0.25">
      <c r="A28" s="629" t="s">
        <v>175</v>
      </c>
      <c r="B28" s="630"/>
      <c r="C28" s="40">
        <v>0.14000000000000001</v>
      </c>
      <c r="D28" s="326">
        <v>3.1</v>
      </c>
      <c r="E28" s="4">
        <v>0.2</v>
      </c>
      <c r="F28" s="4">
        <f t="shared" si="4"/>
        <v>0.34</v>
      </c>
      <c r="G28" s="635">
        <f t="shared" si="5"/>
        <v>0.43400000000000005</v>
      </c>
      <c r="H28" s="635"/>
      <c r="I28" s="342">
        <f t="shared" si="3"/>
        <v>0.21080000000000002</v>
      </c>
    </row>
    <row r="29" spans="1:9" s="93" customFormat="1" x14ac:dyDescent="0.25">
      <c r="A29" s="629" t="s">
        <v>176</v>
      </c>
      <c r="B29" s="630"/>
      <c r="C29" s="40">
        <v>0.14000000000000001</v>
      </c>
      <c r="D29" s="326">
        <v>3.1</v>
      </c>
      <c r="E29" s="4">
        <v>0.2</v>
      </c>
      <c r="F29" s="4">
        <f t="shared" si="4"/>
        <v>0.34</v>
      </c>
      <c r="G29" s="635">
        <f t="shared" si="5"/>
        <v>0.43400000000000005</v>
      </c>
      <c r="H29" s="635"/>
      <c r="I29" s="342">
        <f t="shared" si="3"/>
        <v>0.21080000000000002</v>
      </c>
    </row>
    <row r="30" spans="1:9" x14ac:dyDescent="0.25">
      <c r="A30" s="629" t="s">
        <v>344</v>
      </c>
      <c r="B30" s="630"/>
      <c r="C30" s="40">
        <v>0.14000000000000001</v>
      </c>
      <c r="D30" s="326">
        <v>3.4</v>
      </c>
      <c r="E30" s="4">
        <v>0.2</v>
      </c>
      <c r="F30" s="4">
        <f t="shared" si="4"/>
        <v>0.34</v>
      </c>
      <c r="G30" s="635">
        <f t="shared" si="5"/>
        <v>0.47600000000000003</v>
      </c>
      <c r="H30" s="635"/>
      <c r="I30" s="342">
        <f t="shared" si="3"/>
        <v>0.23120000000000004</v>
      </c>
    </row>
    <row r="31" spans="1:9" x14ac:dyDescent="0.25">
      <c r="A31" s="629" t="s">
        <v>345</v>
      </c>
      <c r="B31" s="630"/>
      <c r="C31" s="40">
        <v>0.14000000000000001</v>
      </c>
      <c r="D31" s="326">
        <v>3.1</v>
      </c>
      <c r="E31" s="4">
        <v>0.2</v>
      </c>
      <c r="F31" s="4">
        <f t="shared" si="4"/>
        <v>0.34</v>
      </c>
      <c r="G31" s="635">
        <f t="shared" si="5"/>
        <v>0.43400000000000005</v>
      </c>
      <c r="H31" s="635"/>
      <c r="I31" s="342">
        <f t="shared" si="3"/>
        <v>0.21080000000000002</v>
      </c>
    </row>
    <row r="32" spans="1:9" s="93" customFormat="1" x14ac:dyDescent="0.25">
      <c r="A32" s="636" t="s">
        <v>158</v>
      </c>
      <c r="B32" s="637"/>
      <c r="C32" s="637"/>
      <c r="D32" s="637"/>
      <c r="E32" s="637"/>
      <c r="F32" s="638"/>
      <c r="G32" s="617">
        <f>SUM(G19:H31)</f>
        <v>7.0684700000000014</v>
      </c>
      <c r="H32" s="617"/>
      <c r="I32" s="343">
        <f>SUM(I19:I31)</f>
        <v>3.7442564999999992</v>
      </c>
    </row>
    <row r="33" spans="1:11" x14ac:dyDescent="0.25">
      <c r="A33" s="639" t="s">
        <v>302</v>
      </c>
      <c r="B33" s="640"/>
      <c r="C33" s="640"/>
      <c r="D33" s="640"/>
      <c r="E33" s="641"/>
      <c r="F33" s="95" t="s">
        <v>192</v>
      </c>
      <c r="G33" s="617">
        <f>H14+G32</f>
        <v>13.973470000000001</v>
      </c>
      <c r="H33" s="617"/>
      <c r="I33" s="343">
        <f>I14+I32</f>
        <v>13.8892565</v>
      </c>
    </row>
    <row r="34" spans="1:11" x14ac:dyDescent="0.25">
      <c r="A34" s="344"/>
      <c r="B34" s="43"/>
      <c r="C34" s="44"/>
      <c r="D34" s="318"/>
      <c r="E34" s="246"/>
      <c r="F34" s="318"/>
      <c r="G34" s="318"/>
      <c r="H34" s="318"/>
      <c r="I34" s="319"/>
      <c r="J34" s="46"/>
      <c r="K34" s="42"/>
    </row>
    <row r="35" spans="1:11" x14ac:dyDescent="0.25">
      <c r="A35" s="642" t="s">
        <v>160</v>
      </c>
      <c r="B35" s="619"/>
      <c r="C35" s="619"/>
      <c r="D35" s="619"/>
      <c r="E35" s="619"/>
      <c r="F35" s="619"/>
      <c r="G35" s="619"/>
      <c r="H35" s="619"/>
      <c r="I35" s="643"/>
      <c r="J35" s="46"/>
      <c r="K35" s="42"/>
    </row>
    <row r="36" spans="1:11" ht="30" customHeight="1" x14ac:dyDescent="0.25">
      <c r="A36" s="625" t="s">
        <v>162</v>
      </c>
      <c r="B36" s="626"/>
      <c r="C36" s="327" t="s">
        <v>159</v>
      </c>
      <c r="D36" s="627" t="s">
        <v>304</v>
      </c>
      <c r="E36" s="627"/>
      <c r="F36" s="628" t="s">
        <v>161</v>
      </c>
      <c r="G36" s="628"/>
      <c r="H36" s="644" t="s">
        <v>23</v>
      </c>
      <c r="I36" s="645"/>
      <c r="J36" s="104"/>
    </row>
    <row r="37" spans="1:11" ht="15" customHeight="1" x14ac:dyDescent="0.25">
      <c r="A37" s="629" t="s">
        <v>179</v>
      </c>
      <c r="B37" s="630"/>
      <c r="C37" s="41">
        <f>I14</f>
        <v>10.145000000000001</v>
      </c>
      <c r="D37" s="631">
        <f>H14*0.03</f>
        <v>0.20714999999999997</v>
      </c>
      <c r="E37" s="631"/>
      <c r="F37" s="632">
        <v>2.7</v>
      </c>
      <c r="G37" s="632"/>
      <c r="H37" s="617">
        <f>C37-D37-F37</f>
        <v>7.2378500000000008</v>
      </c>
      <c r="I37" s="618"/>
    </row>
    <row r="38" spans="1:11" s="93" customFormat="1" x14ac:dyDescent="0.25">
      <c r="A38" s="629" t="s">
        <v>102</v>
      </c>
      <c r="B38" s="630"/>
      <c r="C38" s="331">
        <f>I32</f>
        <v>3.7442564999999992</v>
      </c>
      <c r="D38" s="631">
        <f>G32*0.03</f>
        <v>0.21205410000000002</v>
      </c>
      <c r="E38" s="631"/>
      <c r="F38" s="632">
        <v>1.7</v>
      </c>
      <c r="G38" s="632"/>
      <c r="H38" s="617">
        <f>C38-D38-F38</f>
        <v>1.8322023999999992</v>
      </c>
      <c r="I38" s="618"/>
    </row>
    <row r="39" spans="1:11" x14ac:dyDescent="0.25">
      <c r="A39" s="633" t="s">
        <v>303</v>
      </c>
      <c r="B39" s="634"/>
      <c r="C39" s="634"/>
      <c r="D39" s="634"/>
      <c r="E39" s="634"/>
      <c r="F39" s="634"/>
      <c r="G39" s="634"/>
      <c r="H39" s="617">
        <f>SUM(H37:H38)</f>
        <v>9.0700523999999998</v>
      </c>
      <c r="I39" s="618"/>
    </row>
    <row r="40" spans="1:11" s="93" customFormat="1" x14ac:dyDescent="0.25">
      <c r="A40" s="344"/>
      <c r="B40" s="43"/>
      <c r="C40" s="44"/>
      <c r="D40" s="318"/>
      <c r="E40" s="246"/>
      <c r="F40" s="318"/>
      <c r="G40" s="318"/>
      <c r="H40" s="318"/>
      <c r="I40" s="319"/>
    </row>
    <row r="41" spans="1:11" s="93" customFormat="1" x14ac:dyDescent="0.25">
      <c r="A41" s="344"/>
      <c r="B41" s="43"/>
      <c r="C41" s="104"/>
      <c r="D41" s="619" t="s">
        <v>187</v>
      </c>
      <c r="E41" s="619"/>
      <c r="F41" s="619"/>
      <c r="G41" s="318"/>
      <c r="H41" s="318"/>
      <c r="I41" s="319"/>
    </row>
    <row r="42" spans="1:11" s="93" customFormat="1" x14ac:dyDescent="0.25">
      <c r="A42" s="344"/>
      <c r="B42" s="43"/>
      <c r="C42" s="44"/>
      <c r="D42" s="327" t="s">
        <v>444</v>
      </c>
      <c r="E42" s="332" t="s">
        <v>300</v>
      </c>
      <c r="F42" s="330" t="s">
        <v>22</v>
      </c>
      <c r="G42" s="318"/>
      <c r="H42" s="318"/>
      <c r="I42" s="319"/>
    </row>
    <row r="43" spans="1:11" s="93" customFormat="1" x14ac:dyDescent="0.25">
      <c r="A43" s="344"/>
      <c r="B43" s="43"/>
      <c r="C43" s="44"/>
      <c r="D43" s="51">
        <v>8.5399999999999991</v>
      </c>
      <c r="E43" s="50">
        <v>0.2</v>
      </c>
      <c r="F43" s="4">
        <f>D43*E43</f>
        <v>1.708</v>
      </c>
      <c r="G43" s="318"/>
      <c r="H43" s="318"/>
      <c r="I43" s="319"/>
    </row>
    <row r="44" spans="1:11" s="93" customFormat="1" x14ac:dyDescent="0.25">
      <c r="A44" s="344"/>
      <c r="B44" s="43"/>
      <c r="C44" s="44"/>
      <c r="D44" s="51">
        <v>7.64</v>
      </c>
      <c r="E44" s="50">
        <v>0.2</v>
      </c>
      <c r="F44" s="4">
        <f t="shared" ref="F44:F49" si="6">D44*E44</f>
        <v>1.528</v>
      </c>
      <c r="G44" s="318"/>
      <c r="H44" s="318"/>
      <c r="I44" s="319"/>
    </row>
    <row r="45" spans="1:11" s="93" customFormat="1" x14ac:dyDescent="0.25">
      <c r="A45" s="344"/>
      <c r="B45" s="43"/>
      <c r="C45" s="44"/>
      <c r="D45" s="51">
        <f>3.09*10</f>
        <v>30.9</v>
      </c>
      <c r="E45" s="50">
        <v>0.2</v>
      </c>
      <c r="F45" s="4">
        <f t="shared" si="6"/>
        <v>6.18</v>
      </c>
      <c r="G45" s="318"/>
      <c r="H45" s="318"/>
      <c r="I45" s="319"/>
    </row>
    <row r="46" spans="1:11" s="93" customFormat="1" x14ac:dyDescent="0.25">
      <c r="A46" s="344"/>
      <c r="B46" s="43"/>
      <c r="C46" s="44"/>
      <c r="D46" s="51">
        <f>2.55*2</f>
        <v>5.0999999999999996</v>
      </c>
      <c r="E46" s="50">
        <v>0.2</v>
      </c>
      <c r="F46" s="4">
        <f t="shared" si="6"/>
        <v>1.02</v>
      </c>
      <c r="G46" s="318"/>
      <c r="H46" s="318"/>
      <c r="I46" s="319"/>
    </row>
    <row r="47" spans="1:11" s="93" customFormat="1" x14ac:dyDescent="0.25">
      <c r="A47" s="344"/>
      <c r="B47" s="43"/>
      <c r="C47" s="44"/>
      <c r="D47" s="51">
        <f>1.31*4</f>
        <v>5.24</v>
      </c>
      <c r="E47" s="50">
        <v>0.25</v>
      </c>
      <c r="F47" s="4">
        <f t="shared" si="6"/>
        <v>1.31</v>
      </c>
      <c r="G47" s="318"/>
      <c r="H47" s="318"/>
      <c r="I47" s="319"/>
    </row>
    <row r="48" spans="1:11" s="93" customFormat="1" x14ac:dyDescent="0.25">
      <c r="A48" s="344"/>
      <c r="B48" s="43"/>
      <c r="C48" s="44"/>
      <c r="D48" s="51">
        <f>4.06*4</f>
        <v>16.239999999999998</v>
      </c>
      <c r="E48" s="50">
        <v>0.25</v>
      </c>
      <c r="F48" s="4">
        <f t="shared" si="6"/>
        <v>4.0599999999999996</v>
      </c>
      <c r="G48" s="318"/>
      <c r="H48" s="318"/>
      <c r="I48" s="319"/>
    </row>
    <row r="49" spans="1:10" s="93" customFormat="1" x14ac:dyDescent="0.25">
      <c r="A49" s="344"/>
      <c r="B49" s="43"/>
      <c r="C49" s="44"/>
      <c r="D49" s="51">
        <f>5.8*4</f>
        <v>23.2</v>
      </c>
      <c r="E49" s="50">
        <v>0.25</v>
      </c>
      <c r="F49" s="4">
        <f t="shared" si="6"/>
        <v>5.8</v>
      </c>
      <c r="G49" s="318"/>
      <c r="H49" s="318"/>
      <c r="I49" s="319"/>
    </row>
    <row r="50" spans="1:10" s="93" customFormat="1" x14ac:dyDescent="0.25">
      <c r="A50" s="344"/>
      <c r="B50" s="43"/>
      <c r="C50" s="44"/>
      <c r="D50" s="620" t="s">
        <v>445</v>
      </c>
      <c r="E50" s="621"/>
      <c r="F50" s="4">
        <v>7.19</v>
      </c>
      <c r="G50" s="318"/>
      <c r="H50" s="318"/>
      <c r="I50" s="319"/>
    </row>
    <row r="51" spans="1:10" s="93" customFormat="1" x14ac:dyDescent="0.25">
      <c r="A51" s="344"/>
      <c r="B51" s="43"/>
      <c r="C51" s="44"/>
      <c r="D51" s="622" t="s">
        <v>158</v>
      </c>
      <c r="E51" s="623"/>
      <c r="F51" s="52">
        <f>SUM(F43:F50)</f>
        <v>28.796000000000003</v>
      </c>
      <c r="G51" s="318"/>
      <c r="H51" s="318"/>
      <c r="I51" s="319"/>
    </row>
    <row r="52" spans="1:10" s="93" customFormat="1" x14ac:dyDescent="0.25">
      <c r="A52" s="344"/>
      <c r="B52" s="43"/>
      <c r="C52" s="107"/>
      <c r="D52" s="624" t="s">
        <v>446</v>
      </c>
      <c r="E52" s="624"/>
      <c r="F52" s="624"/>
      <c r="G52" s="318"/>
      <c r="H52" s="318"/>
      <c r="I52" s="319"/>
    </row>
    <row r="53" spans="1:10" s="93" customFormat="1" x14ac:dyDescent="0.25">
      <c r="A53" s="344"/>
      <c r="B53" s="43"/>
      <c r="C53" s="107"/>
      <c r="D53" s="624" t="s">
        <v>447</v>
      </c>
      <c r="E53" s="624"/>
      <c r="F53" s="624"/>
      <c r="G53" s="318"/>
      <c r="H53" s="318"/>
      <c r="I53" s="319"/>
    </row>
    <row r="54" spans="1:10" s="93" customFormat="1" ht="15.75" thickBot="1" x14ac:dyDescent="0.3">
      <c r="A54" s="346"/>
      <c r="B54" s="347"/>
      <c r="C54" s="348"/>
      <c r="D54" s="320"/>
      <c r="E54" s="349"/>
      <c r="F54" s="320"/>
      <c r="G54" s="320"/>
      <c r="H54" s="320"/>
      <c r="I54" s="321"/>
    </row>
    <row r="55" spans="1:10" s="93" customFormat="1" x14ac:dyDescent="0.25">
      <c r="A55" s="43"/>
      <c r="B55" s="43"/>
      <c r="C55" s="122"/>
      <c r="D55" s="122"/>
      <c r="E55" s="122"/>
      <c r="F55" s="122"/>
      <c r="G55" s="122"/>
      <c r="H55" s="122"/>
      <c r="I55" s="178"/>
      <c r="J55" s="178"/>
    </row>
    <row r="56" spans="1:10" s="93" customFormat="1" x14ac:dyDescent="0.25">
      <c r="A56" s="43"/>
      <c r="B56" s="43"/>
      <c r="C56" s="26"/>
      <c r="D56" s="26"/>
      <c r="E56" s="26"/>
      <c r="F56" s="26"/>
      <c r="G56" s="26"/>
      <c r="H56" s="26"/>
      <c r="I56" s="178"/>
      <c r="J56" s="178"/>
    </row>
    <row r="57" spans="1:10" s="93" customFormat="1" x14ac:dyDescent="0.25">
      <c r="A57" s="43"/>
      <c r="B57" s="43"/>
      <c r="C57" s="26"/>
      <c r="D57" s="26"/>
      <c r="E57" s="26"/>
      <c r="F57" s="26"/>
      <c r="G57" s="26"/>
      <c r="H57" s="26"/>
      <c r="I57" s="178"/>
      <c r="J57" s="178"/>
    </row>
    <row r="58" spans="1:10" s="93" customFormat="1" x14ac:dyDescent="0.25">
      <c r="A58" s="43"/>
      <c r="B58" s="43"/>
      <c r="C58" s="26"/>
      <c r="D58" s="26"/>
      <c r="E58" s="26"/>
      <c r="F58" s="26"/>
      <c r="G58" s="26"/>
      <c r="H58" s="26"/>
      <c r="I58" s="178"/>
      <c r="J58" s="178"/>
    </row>
    <row r="59" spans="1:10" s="93" customFormat="1" x14ac:dyDescent="0.25">
      <c r="A59" s="43"/>
      <c r="B59" s="43"/>
      <c r="C59" s="26"/>
      <c r="D59" s="26"/>
      <c r="E59" s="26"/>
      <c r="F59" s="26"/>
      <c r="G59" s="26"/>
      <c r="H59" s="26"/>
      <c r="I59" s="178"/>
      <c r="J59" s="178"/>
    </row>
    <row r="60" spans="1:10" s="93" customFormat="1" x14ac:dyDescent="0.25">
      <c r="A60" s="43"/>
      <c r="B60" s="43"/>
      <c r="C60" s="26"/>
      <c r="D60" s="26"/>
      <c r="E60" s="26"/>
      <c r="F60" s="26"/>
      <c r="G60" s="26"/>
      <c r="H60" s="26"/>
      <c r="I60" s="178"/>
      <c r="J60" s="178"/>
    </row>
    <row r="61" spans="1:10" s="93" customFormat="1" x14ac:dyDescent="0.25">
      <c r="A61" s="43"/>
      <c r="B61" s="43"/>
      <c r="C61" s="26"/>
      <c r="D61" s="26"/>
      <c r="E61" s="26"/>
      <c r="F61" s="26"/>
      <c r="G61" s="26"/>
      <c r="H61" s="26"/>
      <c r="I61" s="178"/>
      <c r="J61" s="178"/>
    </row>
    <row r="62" spans="1:10" s="93" customFormat="1" x14ac:dyDescent="0.25">
      <c r="A62" s="43"/>
      <c r="B62" s="43"/>
      <c r="C62" s="26"/>
      <c r="D62" s="26"/>
      <c r="E62" s="26"/>
      <c r="F62" s="26"/>
      <c r="G62" s="26"/>
      <c r="H62" s="26"/>
      <c r="I62" s="178"/>
      <c r="J62" s="178"/>
    </row>
    <row r="63" spans="1:10" s="93" customFormat="1" x14ac:dyDescent="0.25">
      <c r="A63" s="43"/>
      <c r="B63" s="43"/>
      <c r="C63" s="26"/>
      <c r="D63" s="26"/>
      <c r="E63" s="26"/>
      <c r="F63" s="26"/>
      <c r="G63" s="26"/>
      <c r="H63" s="26"/>
      <c r="I63" s="178"/>
      <c r="J63" s="178"/>
    </row>
    <row r="64" spans="1:10" s="93" customFormat="1" x14ac:dyDescent="0.25">
      <c r="A64" s="43"/>
      <c r="B64" s="43"/>
      <c r="C64" s="26"/>
      <c r="D64" s="26"/>
      <c r="E64" s="26"/>
      <c r="F64" s="26"/>
      <c r="G64" s="26"/>
      <c r="H64" s="26"/>
      <c r="I64" s="178"/>
      <c r="J64" s="178"/>
    </row>
    <row r="65" spans="1:10" s="93" customFormat="1" x14ac:dyDescent="0.25">
      <c r="A65" s="43"/>
      <c r="B65" s="43"/>
      <c r="C65" s="26"/>
      <c r="D65" s="26"/>
      <c r="E65" s="26"/>
      <c r="F65" s="26"/>
      <c r="G65" s="26"/>
      <c r="H65" s="26"/>
      <c r="I65" s="178"/>
      <c r="J65" s="178"/>
    </row>
    <row r="66" spans="1:10" s="93" customFormat="1" x14ac:dyDescent="0.25">
      <c r="A66" s="43"/>
      <c r="B66" s="43"/>
      <c r="C66" s="26"/>
      <c r="D66" s="26"/>
      <c r="E66" s="26"/>
      <c r="F66" s="26"/>
      <c r="G66" s="26"/>
      <c r="H66" s="26"/>
      <c r="I66" s="178"/>
      <c r="J66" s="178"/>
    </row>
    <row r="67" spans="1:10" s="93" customFormat="1" x14ac:dyDescent="0.25">
      <c r="A67" s="43"/>
      <c r="B67" s="43"/>
      <c r="C67" s="26"/>
      <c r="D67" s="26"/>
      <c r="E67" s="26"/>
      <c r="F67" s="26"/>
      <c r="G67" s="26"/>
      <c r="H67" s="26"/>
      <c r="I67" s="178"/>
      <c r="J67" s="178"/>
    </row>
    <row r="68" spans="1:10" s="93" customFormat="1" x14ac:dyDescent="0.25">
      <c r="A68" s="43"/>
      <c r="B68" s="43"/>
      <c r="C68" s="26"/>
      <c r="D68" s="26"/>
      <c r="E68" s="26"/>
      <c r="F68" s="26"/>
      <c r="G68" s="26"/>
      <c r="H68" s="26"/>
      <c r="I68" s="178"/>
      <c r="J68" s="178"/>
    </row>
    <row r="69" spans="1:10" s="93" customFormat="1" x14ac:dyDescent="0.25">
      <c r="A69" s="43"/>
      <c r="B69" s="43"/>
      <c r="C69" s="26"/>
      <c r="D69" s="26"/>
      <c r="E69" s="26"/>
      <c r="F69" s="26"/>
      <c r="G69" s="26"/>
      <c r="H69" s="26"/>
      <c r="I69" s="178"/>
      <c r="J69" s="178"/>
    </row>
    <row r="70" spans="1:10" s="93" customFormat="1" x14ac:dyDescent="0.25">
      <c r="A70" s="43"/>
      <c r="B70" s="43"/>
      <c r="C70" s="26"/>
      <c r="D70" s="26"/>
      <c r="E70" s="26"/>
      <c r="F70" s="26"/>
      <c r="G70" s="26"/>
      <c r="H70" s="26"/>
      <c r="I70" s="178"/>
      <c r="J70" s="178"/>
    </row>
    <row r="71" spans="1:10" s="93" customFormat="1" x14ac:dyDescent="0.25">
      <c r="A71" s="43"/>
      <c r="B71" s="43"/>
      <c r="C71" s="26"/>
      <c r="D71" s="26"/>
      <c r="E71" s="26"/>
      <c r="F71" s="26"/>
      <c r="G71" s="26"/>
      <c r="H71" s="26"/>
      <c r="I71" s="178"/>
      <c r="J71" s="178"/>
    </row>
    <row r="72" spans="1:10" s="93" customFormat="1" x14ac:dyDescent="0.25">
      <c r="A72" s="43"/>
      <c r="B72" s="43"/>
      <c r="C72" s="26"/>
      <c r="D72" s="26"/>
      <c r="E72" s="26"/>
      <c r="F72" s="26"/>
      <c r="G72" s="26"/>
      <c r="H72" s="26"/>
      <c r="I72" s="178"/>
      <c r="J72" s="178"/>
    </row>
    <row r="73" spans="1:10" s="93" customFormat="1" x14ac:dyDescent="0.25">
      <c r="A73" s="36"/>
      <c r="B73" s="36"/>
      <c r="C73"/>
      <c r="D73"/>
      <c r="E73"/>
      <c r="F73"/>
      <c r="G73"/>
      <c r="H73"/>
    </row>
    <row r="74" spans="1:10" s="93" customFormat="1" x14ac:dyDescent="0.25">
      <c r="A74" s="43"/>
      <c r="B74" s="43"/>
      <c r="C74" s="19"/>
      <c r="D74" s="19"/>
      <c r="E74" s="19"/>
      <c r="F74" s="19"/>
      <c r="G74" s="19"/>
      <c r="H74" s="19"/>
      <c r="I74" s="178"/>
    </row>
    <row r="75" spans="1:10" s="93" customFormat="1" x14ac:dyDescent="0.25">
      <c r="A75" s="43"/>
      <c r="B75" s="43"/>
      <c r="C75" s="19"/>
      <c r="D75" s="19"/>
      <c r="E75" s="19"/>
      <c r="F75" s="19"/>
      <c r="G75" s="19"/>
      <c r="H75" s="19"/>
      <c r="I75" s="178"/>
    </row>
    <row r="76" spans="1:10" s="93" customFormat="1" x14ac:dyDescent="0.25">
      <c r="A76" s="43"/>
      <c r="B76" s="43"/>
      <c r="C76" s="122"/>
      <c r="D76" s="122"/>
      <c r="E76" s="122"/>
      <c r="F76" s="122"/>
      <c r="G76" s="122"/>
      <c r="H76" s="122"/>
      <c r="I76" s="178"/>
    </row>
    <row r="77" spans="1:10" s="93" customFormat="1" x14ac:dyDescent="0.25">
      <c r="A77" s="43"/>
      <c r="B77" s="43"/>
      <c r="C77" s="26"/>
      <c r="D77" s="26"/>
      <c r="E77" s="26"/>
      <c r="F77" s="26"/>
      <c r="G77" s="26"/>
      <c r="H77" s="26"/>
      <c r="I77" s="178"/>
    </row>
    <row r="78" spans="1:10" s="93" customFormat="1" x14ac:dyDescent="0.25">
      <c r="A78" s="43"/>
      <c r="B78" s="43"/>
      <c r="C78" s="26"/>
      <c r="D78" s="26"/>
      <c r="E78" s="26"/>
      <c r="F78" s="26"/>
      <c r="G78" s="26"/>
      <c r="H78" s="26"/>
      <c r="I78" s="178"/>
    </row>
    <row r="79" spans="1:10" s="93" customFormat="1" x14ac:dyDescent="0.25">
      <c r="A79" s="43"/>
      <c r="B79" s="43"/>
      <c r="C79" s="26"/>
      <c r="D79" s="26"/>
      <c r="E79" s="26"/>
      <c r="F79" s="26"/>
      <c r="G79" s="26"/>
      <c r="H79" s="26"/>
      <c r="I79" s="178"/>
    </row>
    <row r="80" spans="1:10" s="93" customFormat="1" x14ac:dyDescent="0.25">
      <c r="A80" s="43"/>
      <c r="B80" s="43"/>
      <c r="C80" s="26"/>
      <c r="D80" s="26"/>
      <c r="E80" s="26"/>
      <c r="F80" s="26"/>
      <c r="G80" s="26"/>
      <c r="H80" s="26"/>
      <c r="I80" s="178"/>
    </row>
    <row r="81" spans="1:9" s="93" customFormat="1" x14ac:dyDescent="0.25">
      <c r="A81" s="43"/>
      <c r="B81" s="43"/>
      <c r="C81" s="26"/>
      <c r="D81" s="26"/>
      <c r="E81" s="26"/>
      <c r="F81" s="26"/>
      <c r="G81" s="26"/>
      <c r="H81" s="26"/>
      <c r="I81" s="178"/>
    </row>
    <row r="82" spans="1:9" s="93" customFormat="1" x14ac:dyDescent="0.25">
      <c r="A82" s="43"/>
      <c r="B82" s="43"/>
      <c r="C82" s="26"/>
      <c r="D82" s="26"/>
      <c r="E82" s="26"/>
      <c r="F82" s="26"/>
      <c r="G82" s="26"/>
      <c r="H82" s="26"/>
      <c r="I82" s="178"/>
    </row>
    <row r="83" spans="1:9" s="93" customFormat="1" x14ac:dyDescent="0.25">
      <c r="A83" s="43"/>
      <c r="B83" s="43"/>
      <c r="C83" s="26"/>
      <c r="D83" s="26"/>
      <c r="E83" s="26"/>
      <c r="F83" s="26"/>
      <c r="G83" s="26"/>
      <c r="H83" s="26"/>
      <c r="I83" s="178"/>
    </row>
    <row r="84" spans="1:9" s="93" customFormat="1" x14ac:dyDescent="0.25">
      <c r="A84" s="43"/>
      <c r="B84" s="43"/>
      <c r="C84" s="26"/>
      <c r="D84" s="26"/>
      <c r="E84" s="26"/>
      <c r="F84" s="26"/>
      <c r="G84" s="26"/>
      <c r="H84" s="26"/>
      <c r="I84" s="178"/>
    </row>
    <row r="85" spans="1:9" s="93" customFormat="1" x14ac:dyDescent="0.25">
      <c r="A85" s="43"/>
      <c r="B85" s="43"/>
      <c r="C85" s="26"/>
      <c r="D85" s="26"/>
      <c r="E85" s="26"/>
      <c r="F85" s="26"/>
      <c r="G85" s="26"/>
      <c r="H85" s="26"/>
      <c r="I85" s="178"/>
    </row>
    <row r="86" spans="1:9" s="93" customFormat="1" x14ac:dyDescent="0.25">
      <c r="A86" s="43"/>
      <c r="B86" s="43"/>
      <c r="C86" s="26"/>
      <c r="D86" s="26"/>
      <c r="E86" s="26"/>
      <c r="F86" s="26"/>
      <c r="G86" s="26"/>
      <c r="H86" s="26"/>
      <c r="I86" s="178"/>
    </row>
    <row r="87" spans="1:9" s="93" customFormat="1" x14ac:dyDescent="0.25">
      <c r="A87" s="43"/>
      <c r="B87" s="43"/>
      <c r="C87" s="26"/>
      <c r="D87" s="26"/>
      <c r="E87" s="26"/>
      <c r="F87" s="26"/>
      <c r="G87" s="26"/>
      <c r="H87" s="26"/>
      <c r="I87" s="178"/>
    </row>
    <row r="88" spans="1:9" s="93" customFormat="1" x14ac:dyDescent="0.25">
      <c r="A88" s="43"/>
      <c r="B88" s="43"/>
      <c r="C88" s="26"/>
      <c r="D88" s="26"/>
      <c r="E88" s="26"/>
      <c r="F88" s="26"/>
      <c r="G88" s="26"/>
      <c r="H88" s="26"/>
      <c r="I88" s="178"/>
    </row>
    <row r="89" spans="1:9" x14ac:dyDescent="0.25">
      <c r="A89" s="43"/>
      <c r="B89" s="43"/>
      <c r="C89" s="26"/>
      <c r="D89" s="26"/>
      <c r="E89" s="26"/>
      <c r="F89" s="26"/>
      <c r="G89" s="26"/>
      <c r="H89" s="26"/>
      <c r="I89" s="178"/>
    </row>
    <row r="90" spans="1:9" x14ac:dyDescent="0.25">
      <c r="A90" s="43"/>
      <c r="B90" s="43"/>
      <c r="C90" s="26"/>
      <c r="D90" s="26"/>
      <c r="E90" s="26"/>
      <c r="F90" s="26"/>
      <c r="G90" s="26"/>
      <c r="H90" s="26"/>
      <c r="I90" s="178"/>
    </row>
    <row r="91" spans="1:9" x14ac:dyDescent="0.25">
      <c r="A91" s="43"/>
      <c r="B91" s="43"/>
      <c r="C91" s="44"/>
      <c r="D91" s="178"/>
      <c r="E91" s="246"/>
      <c r="F91" s="178"/>
      <c r="G91" s="178"/>
      <c r="H91" s="178"/>
      <c r="I91" s="178"/>
    </row>
    <row r="92" spans="1:9" x14ac:dyDescent="0.25">
      <c r="A92" s="259"/>
      <c r="B92" s="259"/>
      <c r="C92" s="248"/>
      <c r="D92" s="250"/>
      <c r="E92" s="249"/>
      <c r="F92" s="249"/>
      <c r="G92" s="260"/>
      <c r="H92" s="260"/>
      <c r="I92" s="250"/>
    </row>
    <row r="93" spans="1:9" x14ac:dyDescent="0.25">
      <c r="A93" s="259"/>
      <c r="B93" s="259"/>
      <c r="C93" s="248"/>
      <c r="D93" s="250"/>
      <c r="E93" s="249"/>
      <c r="F93" s="249"/>
      <c r="G93" s="260"/>
      <c r="H93" s="260"/>
      <c r="I93" s="250"/>
    </row>
    <row r="94" spans="1:9" x14ac:dyDescent="0.25">
      <c r="A94" s="259"/>
      <c r="B94" s="259"/>
      <c r="C94" s="248"/>
      <c r="D94" s="250"/>
      <c r="E94" s="249"/>
      <c r="F94" s="249"/>
      <c r="G94" s="260"/>
      <c r="H94" s="260"/>
      <c r="I94" s="250"/>
    </row>
    <row r="95" spans="1:9" x14ac:dyDescent="0.25">
      <c r="A95" s="259"/>
      <c r="B95" s="259"/>
      <c r="C95" s="248"/>
      <c r="D95" s="250"/>
      <c r="E95" s="249"/>
      <c r="F95" s="249"/>
      <c r="G95" s="260"/>
      <c r="H95" s="260"/>
      <c r="I95" s="250"/>
    </row>
    <row r="96" spans="1:9" x14ac:dyDescent="0.25">
      <c r="A96" s="259"/>
      <c r="B96" s="259"/>
      <c r="C96" s="248"/>
      <c r="D96" s="250"/>
      <c r="E96" s="249"/>
      <c r="F96" s="249"/>
      <c r="G96" s="260"/>
      <c r="H96" s="260"/>
      <c r="I96" s="250"/>
    </row>
    <row r="97" spans="1:9" x14ac:dyDescent="0.25">
      <c r="A97" s="259"/>
      <c r="B97" s="259"/>
      <c r="C97" s="248"/>
      <c r="D97" s="250"/>
      <c r="E97" s="249"/>
      <c r="F97" s="249"/>
      <c r="G97" s="260"/>
      <c r="H97" s="260"/>
      <c r="I97" s="250"/>
    </row>
    <row r="98" spans="1:9" x14ac:dyDescent="0.25">
      <c r="A98" s="259"/>
      <c r="B98" s="259"/>
      <c r="C98" s="248"/>
      <c r="D98" s="250"/>
      <c r="E98" s="249"/>
      <c r="F98" s="249"/>
      <c r="G98" s="260"/>
      <c r="H98" s="260"/>
      <c r="I98" s="250"/>
    </row>
    <row r="99" spans="1:9" x14ac:dyDescent="0.25">
      <c r="A99" s="256"/>
      <c r="B99" s="256"/>
      <c r="C99" s="256"/>
      <c r="D99" s="256"/>
      <c r="E99" s="256"/>
      <c r="F99" s="256"/>
      <c r="G99" s="261"/>
      <c r="H99" s="261"/>
      <c r="I99" s="258"/>
    </row>
    <row r="100" spans="1:9" x14ac:dyDescent="0.25">
      <c r="A100" s="254"/>
      <c r="B100" s="254"/>
      <c r="C100" s="254"/>
      <c r="D100" s="254"/>
      <c r="E100" s="254"/>
      <c r="F100" s="257"/>
      <c r="G100" s="261"/>
      <c r="H100" s="261"/>
      <c r="I100" s="258"/>
    </row>
    <row r="101" spans="1:9" x14ac:dyDescent="0.25">
      <c r="A101" s="247"/>
      <c r="B101" s="247"/>
      <c r="C101" s="248"/>
      <c r="D101" s="251"/>
      <c r="E101" s="252"/>
      <c r="F101" s="251"/>
      <c r="G101" s="251"/>
      <c r="H101" s="251"/>
      <c r="I101" s="251"/>
    </row>
    <row r="102" spans="1:9" x14ac:dyDescent="0.25">
      <c r="A102" s="253"/>
      <c r="B102" s="253"/>
      <c r="C102" s="253"/>
      <c r="D102" s="253"/>
      <c r="E102" s="253"/>
      <c r="F102" s="253"/>
      <c r="G102" s="253"/>
      <c r="H102" s="253"/>
      <c r="I102" s="253"/>
    </row>
    <row r="103" spans="1:9" x14ac:dyDescent="0.25">
      <c r="A103" s="262"/>
      <c r="B103" s="262"/>
      <c r="C103" s="262"/>
      <c r="D103" s="255"/>
      <c r="E103" s="255"/>
      <c r="F103" s="256"/>
      <c r="G103" s="256"/>
      <c r="H103" s="263"/>
      <c r="I103" s="263"/>
    </row>
    <row r="104" spans="1:9" x14ac:dyDescent="0.25">
      <c r="A104" s="247"/>
      <c r="B104" s="247"/>
      <c r="C104" s="264"/>
      <c r="D104" s="265"/>
      <c r="E104" s="265"/>
      <c r="F104" s="266"/>
      <c r="G104" s="266"/>
      <c r="H104" s="261"/>
      <c r="I104" s="261"/>
    </row>
    <row r="105" spans="1:9" x14ac:dyDescent="0.25">
      <c r="A105" s="247"/>
      <c r="B105" s="247"/>
      <c r="C105" s="267"/>
      <c r="D105" s="265"/>
      <c r="E105" s="265"/>
      <c r="F105" s="266"/>
      <c r="G105" s="266"/>
      <c r="H105" s="261"/>
      <c r="I105" s="261"/>
    </row>
    <row r="106" spans="1:9" x14ac:dyDescent="0.25">
      <c r="A106" s="268"/>
      <c r="B106" s="268"/>
      <c r="C106" s="268"/>
      <c r="D106" s="268"/>
      <c r="E106" s="268"/>
      <c r="F106" s="268"/>
      <c r="G106" s="268"/>
      <c r="H106" s="261"/>
      <c r="I106" s="261"/>
    </row>
    <row r="107" spans="1:9" ht="30" customHeight="1" x14ac:dyDescent="0.25">
      <c r="A107" s="247"/>
      <c r="B107" s="247"/>
      <c r="C107" s="248"/>
      <c r="D107" s="251"/>
      <c r="E107" s="252"/>
      <c r="F107" s="251"/>
      <c r="G107" s="251"/>
      <c r="H107" s="251"/>
      <c r="I107" s="251"/>
    </row>
    <row r="108" spans="1:9" ht="30" customHeight="1" x14ac:dyDescent="0.25">
      <c r="A108" s="247"/>
      <c r="B108" s="247"/>
      <c r="C108" s="253"/>
      <c r="D108" s="253"/>
      <c r="E108" s="253"/>
      <c r="F108" s="253"/>
      <c r="G108" s="251"/>
      <c r="H108" s="251"/>
      <c r="I108" s="251"/>
    </row>
    <row r="109" spans="1:9" x14ac:dyDescent="0.25">
      <c r="A109" s="247"/>
      <c r="B109" s="247"/>
      <c r="C109" s="248"/>
      <c r="D109" s="262"/>
      <c r="E109" s="269"/>
      <c r="F109" s="270"/>
      <c r="G109" s="251"/>
      <c r="H109" s="251"/>
      <c r="I109" s="251"/>
    </row>
    <row r="110" spans="1:9" x14ac:dyDescent="0.25">
      <c r="A110" s="247"/>
      <c r="B110" s="247"/>
      <c r="C110" s="248"/>
      <c r="D110" s="271"/>
      <c r="E110" s="272"/>
      <c r="F110" s="249"/>
      <c r="G110" s="251"/>
      <c r="H110" s="251"/>
      <c r="I110" s="251"/>
    </row>
    <row r="111" spans="1:9" ht="15" customHeight="1" x14ac:dyDescent="0.25">
      <c r="A111" s="247"/>
      <c r="B111" s="247"/>
      <c r="C111" s="248"/>
      <c r="D111" s="273"/>
      <c r="E111" s="273"/>
      <c r="F111" s="274"/>
      <c r="G111" s="251"/>
      <c r="H111" s="251"/>
      <c r="I111" s="251"/>
    </row>
    <row r="112" spans="1:9" ht="37.5" customHeight="1" x14ac:dyDescent="0.25">
      <c r="A112" s="247"/>
      <c r="B112" s="247"/>
      <c r="C112" s="254"/>
      <c r="D112" s="254"/>
      <c r="E112" s="254"/>
      <c r="F112" s="254"/>
      <c r="G112" s="251"/>
      <c r="H112" s="251"/>
      <c r="I112" s="251"/>
    </row>
    <row r="113" spans="1:9" x14ac:dyDescent="0.25">
      <c r="A113" s="247"/>
      <c r="B113" s="247"/>
      <c r="C113" s="248"/>
      <c r="D113" s="251"/>
      <c r="E113" s="252"/>
      <c r="F113" s="251"/>
      <c r="G113" s="251"/>
      <c r="H113" s="251"/>
      <c r="I113" s="251"/>
    </row>
    <row r="114" spans="1:9" x14ac:dyDescent="0.25">
      <c r="A114" s="247"/>
      <c r="B114" s="247"/>
      <c r="C114" s="132"/>
      <c r="D114" s="132"/>
      <c r="E114" s="132"/>
      <c r="F114" s="132"/>
      <c r="G114" s="132"/>
      <c r="H114" s="132"/>
      <c r="I114" s="251"/>
    </row>
    <row r="115" spans="1:9" x14ac:dyDescent="0.25">
      <c r="A115" s="247"/>
      <c r="B115" s="247"/>
      <c r="C115" s="200"/>
      <c r="D115" s="200"/>
      <c r="E115" s="200"/>
      <c r="F115" s="200"/>
      <c r="G115" s="200"/>
      <c r="H115" s="200"/>
      <c r="I115" s="251"/>
    </row>
    <row r="116" spans="1:9" x14ac:dyDescent="0.25">
      <c r="A116" s="247"/>
      <c r="B116" s="247"/>
      <c r="C116" s="200"/>
      <c r="D116" s="200"/>
      <c r="E116" s="200"/>
      <c r="F116" s="200"/>
      <c r="G116" s="200"/>
      <c r="H116" s="200"/>
      <c r="I116" s="251"/>
    </row>
    <row r="117" spans="1:9" x14ac:dyDescent="0.25">
      <c r="A117" s="247"/>
      <c r="B117" s="247"/>
      <c r="C117" s="200"/>
      <c r="D117" s="200"/>
      <c r="E117" s="200"/>
      <c r="F117" s="200"/>
      <c r="G117" s="200"/>
      <c r="H117" s="200"/>
      <c r="I117" s="251"/>
    </row>
    <row r="118" spans="1:9" x14ac:dyDescent="0.25">
      <c r="A118" s="247"/>
      <c r="B118" s="247"/>
      <c r="C118" s="200"/>
      <c r="D118" s="200"/>
      <c r="E118" s="200"/>
      <c r="F118" s="200"/>
      <c r="G118" s="200"/>
      <c r="H118" s="200"/>
      <c r="I118" s="251"/>
    </row>
    <row r="119" spans="1:9" x14ac:dyDescent="0.25">
      <c r="A119" s="247"/>
      <c r="B119" s="247"/>
      <c r="C119" s="200"/>
      <c r="D119" s="200"/>
      <c r="E119" s="200"/>
      <c r="F119" s="200"/>
      <c r="G119" s="200"/>
      <c r="H119" s="200"/>
      <c r="I119" s="251"/>
    </row>
    <row r="120" spans="1:9" x14ac:dyDescent="0.25">
      <c r="A120" s="247"/>
      <c r="B120" s="247"/>
      <c r="C120" s="200"/>
      <c r="D120" s="200"/>
      <c r="E120" s="200"/>
      <c r="F120" s="200"/>
      <c r="G120" s="200"/>
      <c r="H120" s="200"/>
      <c r="I120" s="251"/>
    </row>
    <row r="121" spans="1:9" x14ac:dyDescent="0.25">
      <c r="A121" s="247"/>
      <c r="B121" s="247"/>
      <c r="C121" s="200"/>
      <c r="D121" s="200"/>
      <c r="E121" s="200"/>
      <c r="F121" s="200"/>
      <c r="G121" s="200"/>
      <c r="H121" s="200"/>
      <c r="I121" s="251"/>
    </row>
    <row r="122" spans="1:9" x14ac:dyDescent="0.25">
      <c r="A122" s="247"/>
      <c r="B122" s="247"/>
      <c r="C122" s="200"/>
      <c r="D122" s="200"/>
      <c r="E122" s="200"/>
      <c r="F122" s="200"/>
      <c r="G122" s="200"/>
      <c r="H122" s="200"/>
      <c r="I122" s="251"/>
    </row>
    <row r="123" spans="1:9" x14ac:dyDescent="0.25">
      <c r="A123" s="247"/>
      <c r="B123" s="247"/>
      <c r="C123" s="200"/>
      <c r="D123" s="200"/>
      <c r="E123" s="200"/>
      <c r="F123" s="200"/>
      <c r="G123" s="200"/>
      <c r="H123" s="200"/>
      <c r="I123" s="251"/>
    </row>
    <row r="124" spans="1:9" x14ac:dyDescent="0.25">
      <c r="A124" s="247"/>
      <c r="B124" s="247"/>
      <c r="C124" s="200"/>
      <c r="D124" s="200"/>
      <c r="E124" s="200"/>
      <c r="F124" s="200"/>
      <c r="G124" s="200"/>
      <c r="H124" s="200"/>
      <c r="I124" s="251"/>
    </row>
    <row r="125" spans="1:9" x14ac:dyDescent="0.25">
      <c r="A125" s="247"/>
      <c r="B125" s="247"/>
      <c r="C125" s="200"/>
      <c r="D125" s="200"/>
      <c r="E125" s="200"/>
      <c r="F125" s="200"/>
      <c r="G125" s="200"/>
      <c r="H125" s="200"/>
      <c r="I125" s="251"/>
    </row>
    <row r="126" spans="1:9" x14ac:dyDescent="0.25">
      <c r="A126" s="247"/>
      <c r="B126" s="247"/>
      <c r="C126" s="200"/>
      <c r="D126" s="200"/>
      <c r="E126" s="200"/>
      <c r="F126" s="200"/>
      <c r="G126" s="200"/>
      <c r="H126" s="200"/>
      <c r="I126" s="251"/>
    </row>
    <row r="127" spans="1:9" x14ac:dyDescent="0.25">
      <c r="A127" s="247"/>
      <c r="B127" s="247"/>
      <c r="C127" s="200"/>
      <c r="D127" s="200"/>
      <c r="E127" s="200"/>
      <c r="F127" s="200"/>
      <c r="G127" s="200"/>
      <c r="H127" s="200"/>
      <c r="I127" s="251"/>
    </row>
    <row r="128" spans="1:9" x14ac:dyDescent="0.25">
      <c r="A128" s="247"/>
      <c r="B128" s="247"/>
      <c r="C128" s="200"/>
      <c r="D128" s="200"/>
      <c r="E128" s="200"/>
      <c r="F128" s="200"/>
      <c r="G128" s="200"/>
      <c r="H128" s="200"/>
      <c r="I128" s="251"/>
    </row>
    <row r="129" spans="1:9" x14ac:dyDescent="0.25">
      <c r="A129" s="247"/>
      <c r="B129" s="247"/>
      <c r="C129" s="200"/>
      <c r="D129" s="200"/>
      <c r="E129" s="200"/>
      <c r="F129" s="200"/>
      <c r="G129" s="200"/>
      <c r="H129" s="200"/>
      <c r="I129" s="251"/>
    </row>
    <row r="130" spans="1:9" x14ac:dyDescent="0.25">
      <c r="A130" s="247"/>
      <c r="B130" s="247"/>
      <c r="C130" s="200"/>
      <c r="D130" s="200"/>
      <c r="E130" s="200"/>
      <c r="F130" s="200"/>
      <c r="G130" s="200"/>
      <c r="H130" s="200"/>
      <c r="I130" s="251"/>
    </row>
    <row r="131" spans="1:9" x14ac:dyDescent="0.25">
      <c r="A131" s="247"/>
      <c r="B131" s="247"/>
      <c r="C131" s="200"/>
      <c r="D131" s="200"/>
      <c r="E131" s="200"/>
      <c r="F131" s="200"/>
      <c r="G131" s="200"/>
      <c r="H131" s="200"/>
      <c r="I131" s="251"/>
    </row>
    <row r="132" spans="1:9" x14ac:dyDescent="0.25">
      <c r="A132" s="247"/>
      <c r="B132" s="247"/>
      <c r="C132" s="125"/>
      <c r="D132" s="125"/>
      <c r="E132" s="125"/>
      <c r="F132" s="125"/>
      <c r="G132" s="125"/>
      <c r="H132" s="125"/>
      <c r="I132" s="251"/>
    </row>
    <row r="133" spans="1:9" x14ac:dyDescent="0.25">
      <c r="A133" s="247"/>
      <c r="B133" s="247"/>
      <c r="C133" s="125"/>
      <c r="D133" s="125"/>
      <c r="E133" s="125"/>
      <c r="F133" s="125"/>
      <c r="G133" s="125"/>
      <c r="H133" s="125"/>
      <c r="I133" s="251"/>
    </row>
    <row r="134" spans="1:9" x14ac:dyDescent="0.25">
      <c r="A134" s="247"/>
      <c r="B134" s="247"/>
      <c r="C134" s="125"/>
      <c r="D134" s="125"/>
      <c r="E134" s="125"/>
      <c r="F134" s="125"/>
      <c r="G134" s="125"/>
      <c r="H134" s="125"/>
      <c r="I134" s="251"/>
    </row>
    <row r="135" spans="1:9" x14ac:dyDescent="0.25">
      <c r="A135" s="247"/>
      <c r="B135" s="247"/>
      <c r="C135" s="132"/>
      <c r="D135" s="132"/>
      <c r="E135" s="132"/>
      <c r="F135" s="132"/>
      <c r="G135" s="132"/>
      <c r="H135" s="132"/>
      <c r="I135" s="251"/>
    </row>
    <row r="136" spans="1:9" x14ac:dyDescent="0.25">
      <c r="A136" s="247"/>
      <c r="B136" s="247"/>
      <c r="C136" s="200"/>
      <c r="D136" s="200"/>
      <c r="E136" s="200"/>
      <c r="F136" s="200"/>
      <c r="G136" s="200"/>
      <c r="H136" s="200"/>
      <c r="I136" s="251"/>
    </row>
    <row r="137" spans="1:9" x14ac:dyDescent="0.25">
      <c r="A137" s="247"/>
      <c r="B137" s="247"/>
      <c r="C137" s="200"/>
      <c r="D137" s="200"/>
      <c r="E137" s="200"/>
      <c r="F137" s="200"/>
      <c r="G137" s="200"/>
      <c r="H137" s="200"/>
      <c r="I137" s="251"/>
    </row>
    <row r="138" spans="1:9" x14ac:dyDescent="0.25">
      <c r="A138" s="247"/>
      <c r="B138" s="247"/>
      <c r="C138" s="200"/>
      <c r="D138" s="200"/>
      <c r="E138" s="200"/>
      <c r="F138" s="200"/>
      <c r="G138" s="200"/>
      <c r="H138" s="200"/>
      <c r="I138" s="251"/>
    </row>
    <row r="139" spans="1:9" x14ac:dyDescent="0.25">
      <c r="A139" s="247"/>
      <c r="B139" s="247"/>
      <c r="C139" s="200"/>
      <c r="D139" s="200"/>
      <c r="E139" s="200"/>
      <c r="F139" s="200"/>
      <c r="G139" s="200"/>
      <c r="H139" s="200"/>
      <c r="I139" s="251"/>
    </row>
    <row r="140" spans="1:9" x14ac:dyDescent="0.25">
      <c r="A140" s="247"/>
      <c r="B140" s="247"/>
      <c r="C140" s="200"/>
      <c r="D140" s="200"/>
      <c r="E140" s="200"/>
      <c r="F140" s="200"/>
      <c r="G140" s="200"/>
      <c r="H140" s="200"/>
      <c r="I140" s="251"/>
    </row>
    <row r="141" spans="1:9" x14ac:dyDescent="0.25">
      <c r="A141" s="247"/>
      <c r="B141" s="247"/>
      <c r="C141" s="200"/>
      <c r="D141" s="200"/>
      <c r="E141" s="200"/>
      <c r="F141" s="200"/>
      <c r="G141" s="200"/>
      <c r="H141" s="200"/>
      <c r="I141" s="251"/>
    </row>
    <row r="142" spans="1:9" x14ac:dyDescent="0.25">
      <c r="A142" s="247"/>
      <c r="B142" s="247"/>
      <c r="C142" s="200"/>
      <c r="D142" s="200"/>
      <c r="E142" s="200"/>
      <c r="F142" s="200"/>
      <c r="G142" s="200"/>
      <c r="H142" s="200"/>
      <c r="I142" s="251"/>
    </row>
    <row r="143" spans="1:9" x14ac:dyDescent="0.25">
      <c r="A143" s="247"/>
      <c r="B143" s="247"/>
      <c r="C143" s="200"/>
      <c r="D143" s="200"/>
      <c r="E143" s="200"/>
      <c r="F143" s="200"/>
      <c r="G143" s="200"/>
      <c r="H143" s="200"/>
      <c r="I143" s="251"/>
    </row>
    <row r="144" spans="1:9" x14ac:dyDescent="0.25">
      <c r="A144" s="247"/>
      <c r="B144" s="247"/>
      <c r="C144" s="200"/>
      <c r="D144" s="200"/>
      <c r="E144" s="200"/>
      <c r="F144" s="200"/>
      <c r="G144" s="200"/>
      <c r="H144" s="200"/>
      <c r="I144" s="251"/>
    </row>
    <row r="145" spans="1:9" x14ac:dyDescent="0.25">
      <c r="A145" s="247"/>
      <c r="B145" s="247"/>
      <c r="C145" s="200"/>
      <c r="D145" s="200"/>
      <c r="E145" s="200"/>
      <c r="F145" s="200"/>
      <c r="G145" s="200"/>
      <c r="H145" s="200"/>
      <c r="I145" s="251"/>
    </row>
    <row r="146" spans="1:9" x14ac:dyDescent="0.25">
      <c r="A146" s="247"/>
      <c r="B146" s="247"/>
      <c r="C146" s="200"/>
      <c r="D146" s="200"/>
      <c r="E146" s="200"/>
      <c r="F146" s="200"/>
      <c r="G146" s="200"/>
      <c r="H146" s="200"/>
      <c r="I146" s="251"/>
    </row>
    <row r="147" spans="1:9" x14ac:dyDescent="0.25">
      <c r="A147" s="247"/>
      <c r="B147" s="247"/>
      <c r="C147" s="200"/>
      <c r="D147" s="200"/>
      <c r="E147" s="200"/>
      <c r="F147" s="200"/>
      <c r="G147" s="200"/>
      <c r="H147" s="200"/>
      <c r="I147" s="251"/>
    </row>
    <row r="148" spans="1:9" x14ac:dyDescent="0.25">
      <c r="A148" s="247"/>
      <c r="B148" s="247"/>
      <c r="C148" s="200"/>
      <c r="D148" s="200"/>
      <c r="E148" s="200"/>
      <c r="F148" s="200"/>
      <c r="G148" s="200"/>
      <c r="H148" s="200"/>
      <c r="I148" s="251"/>
    </row>
    <row r="149" spans="1:9" x14ac:dyDescent="0.25">
      <c r="A149" s="247"/>
      <c r="B149" s="247"/>
      <c r="C149" s="200"/>
      <c r="D149" s="200"/>
      <c r="E149" s="200"/>
      <c r="F149" s="200"/>
      <c r="G149" s="200"/>
      <c r="H149" s="200"/>
      <c r="I149" s="251"/>
    </row>
    <row r="150" spans="1:9" x14ac:dyDescent="0.25">
      <c r="A150" s="247"/>
      <c r="B150" s="247"/>
      <c r="C150" s="248"/>
      <c r="D150" s="251"/>
      <c r="E150" s="252"/>
      <c r="F150" s="251"/>
      <c r="G150" s="251"/>
      <c r="H150" s="251"/>
      <c r="I150" s="251"/>
    </row>
    <row r="151" spans="1:9" x14ac:dyDescent="0.25">
      <c r="A151" s="247"/>
      <c r="B151" s="247"/>
      <c r="C151" s="248"/>
      <c r="D151" s="251"/>
      <c r="E151" s="252"/>
      <c r="F151" s="251"/>
      <c r="G151" s="251"/>
      <c r="H151" s="251"/>
      <c r="I151" s="251"/>
    </row>
    <row r="152" spans="1:9" x14ac:dyDescent="0.25">
      <c r="A152" s="247"/>
      <c r="B152" s="247"/>
      <c r="C152" s="248"/>
      <c r="D152" s="251"/>
      <c r="E152" s="252"/>
      <c r="F152" s="251"/>
      <c r="G152" s="251"/>
      <c r="H152" s="251"/>
      <c r="I152" s="251"/>
    </row>
    <row r="153" spans="1:9" x14ac:dyDescent="0.25">
      <c r="A153" s="247"/>
      <c r="B153" s="247"/>
      <c r="C153" s="248"/>
      <c r="D153" s="251"/>
      <c r="E153" s="252"/>
      <c r="F153" s="251"/>
      <c r="G153" s="251"/>
      <c r="H153" s="251"/>
      <c r="I153" s="251"/>
    </row>
    <row r="154" spans="1:9" x14ac:dyDescent="0.25">
      <c r="A154" s="247"/>
      <c r="B154" s="247"/>
      <c r="C154" s="248"/>
      <c r="D154" s="251"/>
      <c r="E154" s="252"/>
      <c r="F154" s="251"/>
      <c r="G154" s="251"/>
      <c r="H154" s="251"/>
      <c r="I154" s="251"/>
    </row>
    <row r="155" spans="1:9" x14ac:dyDescent="0.25">
      <c r="A155" s="247"/>
      <c r="B155" s="247"/>
      <c r="C155" s="248"/>
      <c r="D155" s="251"/>
      <c r="E155" s="252"/>
      <c r="F155" s="251"/>
      <c r="G155" s="251"/>
      <c r="H155" s="251"/>
      <c r="I155" s="251"/>
    </row>
    <row r="156" spans="1:9" x14ac:dyDescent="0.25">
      <c r="A156" s="247"/>
      <c r="B156" s="247"/>
      <c r="C156" s="248"/>
      <c r="D156" s="251"/>
      <c r="E156" s="252"/>
      <c r="F156" s="251"/>
      <c r="G156" s="251"/>
      <c r="H156" s="251"/>
      <c r="I156" s="251"/>
    </row>
    <row r="157" spans="1:9" x14ac:dyDescent="0.25">
      <c r="A157" s="247"/>
      <c r="B157" s="247"/>
      <c r="C157" s="248"/>
      <c r="D157" s="251"/>
      <c r="E157" s="252"/>
      <c r="F157" s="251"/>
      <c r="G157" s="251"/>
      <c r="H157" s="251"/>
      <c r="I157" s="251"/>
    </row>
    <row r="158" spans="1:9" x14ac:dyDescent="0.25">
      <c r="A158" s="247"/>
      <c r="B158" s="247"/>
      <c r="C158" s="248"/>
      <c r="D158" s="251"/>
      <c r="E158" s="252"/>
      <c r="F158" s="251"/>
      <c r="G158" s="251"/>
      <c r="H158" s="251"/>
      <c r="I158" s="251"/>
    </row>
    <row r="159" spans="1:9" x14ac:dyDescent="0.25">
      <c r="A159" s="247"/>
      <c r="B159" s="247"/>
      <c r="C159" s="248"/>
      <c r="D159" s="251"/>
      <c r="E159" s="252"/>
      <c r="F159" s="251"/>
      <c r="G159" s="251"/>
      <c r="H159" s="251"/>
      <c r="I159" s="251"/>
    </row>
    <row r="160" spans="1:9" x14ac:dyDescent="0.25">
      <c r="A160" s="247"/>
      <c r="B160" s="247"/>
      <c r="C160" s="248"/>
      <c r="D160" s="251"/>
      <c r="E160" s="252"/>
      <c r="F160" s="251"/>
      <c r="G160" s="251"/>
      <c r="H160" s="251"/>
      <c r="I160" s="251"/>
    </row>
    <row r="161" spans="1:9" x14ac:dyDescent="0.25">
      <c r="A161" s="247"/>
      <c r="B161" s="247"/>
      <c r="C161" s="248"/>
      <c r="D161" s="251"/>
      <c r="E161" s="252"/>
      <c r="F161" s="251"/>
      <c r="G161" s="251"/>
      <c r="H161" s="251"/>
      <c r="I161" s="251"/>
    </row>
    <row r="162" spans="1:9" x14ac:dyDescent="0.25">
      <c r="A162" s="247"/>
      <c r="B162" s="247"/>
      <c r="C162" s="248"/>
      <c r="D162" s="251"/>
      <c r="E162" s="252"/>
      <c r="F162" s="251"/>
      <c r="G162" s="251"/>
      <c r="H162" s="251"/>
      <c r="I162" s="251"/>
    </row>
    <row r="163" spans="1:9" x14ac:dyDescent="0.25">
      <c r="A163" s="247"/>
      <c r="B163" s="247"/>
      <c r="C163" s="248"/>
      <c r="D163" s="251"/>
      <c r="E163" s="252"/>
      <c r="F163" s="251"/>
      <c r="G163" s="251"/>
      <c r="H163" s="251"/>
      <c r="I163" s="251"/>
    </row>
    <row r="164" spans="1:9" x14ac:dyDescent="0.25">
      <c r="A164" s="247"/>
      <c r="B164" s="247"/>
      <c r="C164" s="248"/>
      <c r="D164" s="251"/>
      <c r="E164" s="252"/>
      <c r="F164" s="251"/>
      <c r="G164" s="251"/>
      <c r="H164" s="251"/>
      <c r="I164" s="251"/>
    </row>
    <row r="165" spans="1:9" x14ac:dyDescent="0.25">
      <c r="A165" s="247"/>
      <c r="B165" s="247"/>
      <c r="C165" s="248"/>
      <c r="D165" s="251"/>
      <c r="E165" s="252"/>
      <c r="F165" s="251"/>
      <c r="G165" s="251"/>
      <c r="H165" s="251"/>
      <c r="I165" s="251"/>
    </row>
    <row r="166" spans="1:9" x14ac:dyDescent="0.25">
      <c r="A166" s="247"/>
      <c r="B166" s="247"/>
      <c r="C166" s="248"/>
      <c r="D166" s="251"/>
      <c r="E166" s="252"/>
      <c r="F166" s="251"/>
      <c r="G166" s="251"/>
      <c r="H166" s="251"/>
      <c r="I166" s="251"/>
    </row>
    <row r="167" spans="1:9" x14ac:dyDescent="0.25">
      <c r="A167" s="247"/>
      <c r="B167" s="247"/>
      <c r="C167" s="248"/>
      <c r="D167" s="251"/>
      <c r="E167" s="252"/>
      <c r="F167" s="251"/>
      <c r="G167" s="251"/>
      <c r="H167" s="251"/>
      <c r="I167" s="251"/>
    </row>
    <row r="168" spans="1:9" x14ac:dyDescent="0.25">
      <c r="A168" s="247"/>
      <c r="B168" s="247"/>
      <c r="C168" s="248"/>
      <c r="D168" s="251"/>
      <c r="E168" s="252"/>
      <c r="F168" s="251"/>
      <c r="G168" s="251"/>
      <c r="H168" s="251"/>
      <c r="I168" s="251"/>
    </row>
    <row r="169" spans="1:9" x14ac:dyDescent="0.25">
      <c r="A169" s="247"/>
      <c r="B169" s="247"/>
      <c r="C169" s="248"/>
      <c r="D169" s="251"/>
      <c r="E169" s="252"/>
      <c r="F169" s="251"/>
      <c r="G169" s="251"/>
      <c r="H169" s="251"/>
      <c r="I169" s="251"/>
    </row>
    <row r="170" spans="1:9" x14ac:dyDescent="0.25">
      <c r="A170" s="247"/>
      <c r="B170" s="247"/>
      <c r="C170" s="248"/>
      <c r="D170" s="251"/>
      <c r="E170" s="252"/>
      <c r="F170" s="251"/>
      <c r="G170" s="251"/>
      <c r="H170" s="251"/>
      <c r="I170" s="251"/>
    </row>
    <row r="171" spans="1:9" x14ac:dyDescent="0.25">
      <c r="A171" s="247"/>
      <c r="B171" s="247"/>
      <c r="C171" s="248"/>
      <c r="D171" s="251"/>
      <c r="E171" s="252"/>
      <c r="F171" s="251"/>
      <c r="G171" s="251"/>
      <c r="H171" s="251"/>
      <c r="I171" s="251"/>
    </row>
    <row r="172" spans="1:9" x14ac:dyDescent="0.25">
      <c r="A172" s="247"/>
      <c r="B172" s="247"/>
      <c r="C172" s="248"/>
      <c r="D172" s="251"/>
      <c r="E172" s="252"/>
      <c r="F172" s="251"/>
      <c r="G172" s="251"/>
      <c r="H172" s="251"/>
      <c r="I172" s="251"/>
    </row>
    <row r="173" spans="1:9" x14ac:dyDescent="0.25">
      <c r="A173" s="247"/>
      <c r="B173" s="247"/>
      <c r="C173" s="248"/>
      <c r="D173" s="251"/>
      <c r="E173" s="252"/>
      <c r="F173" s="251"/>
      <c r="G173" s="251"/>
      <c r="H173" s="251"/>
      <c r="I173" s="251"/>
    </row>
    <row r="174" spans="1:9" x14ac:dyDescent="0.25">
      <c r="A174" s="247"/>
      <c r="B174" s="247"/>
      <c r="C174" s="248"/>
      <c r="D174" s="251"/>
      <c r="E174" s="252"/>
      <c r="F174" s="251"/>
      <c r="G174" s="251"/>
      <c r="H174" s="251"/>
      <c r="I174" s="251"/>
    </row>
    <row r="175" spans="1:9" x14ac:dyDescent="0.25">
      <c r="A175" s="247"/>
      <c r="B175" s="247"/>
      <c r="C175" s="248"/>
      <c r="D175" s="251"/>
      <c r="E175" s="252"/>
      <c r="F175" s="251"/>
      <c r="G175" s="251"/>
      <c r="H175" s="251"/>
      <c r="I175" s="251"/>
    </row>
    <row r="176" spans="1:9" x14ac:dyDescent="0.25">
      <c r="A176" s="247"/>
      <c r="B176" s="247"/>
      <c r="C176" s="248"/>
      <c r="D176" s="251"/>
      <c r="E176" s="252"/>
      <c r="F176" s="251"/>
      <c r="G176" s="251"/>
      <c r="H176" s="251"/>
      <c r="I176" s="251"/>
    </row>
    <row r="177" spans="1:9" x14ac:dyDescent="0.25">
      <c r="A177" s="247"/>
      <c r="B177" s="247"/>
      <c r="C177" s="248"/>
      <c r="D177" s="251"/>
      <c r="E177" s="252"/>
      <c r="F177" s="251"/>
      <c r="G177" s="251"/>
      <c r="H177" s="251"/>
      <c r="I177" s="251"/>
    </row>
    <row r="178" spans="1:9" x14ac:dyDescent="0.25">
      <c r="A178" s="247"/>
      <c r="B178" s="247"/>
      <c r="C178" s="248"/>
      <c r="D178" s="251"/>
      <c r="E178" s="252"/>
      <c r="F178" s="251"/>
      <c r="G178" s="251"/>
      <c r="H178" s="251"/>
      <c r="I178" s="251"/>
    </row>
    <row r="179" spans="1:9" x14ac:dyDescent="0.25">
      <c r="A179" s="247"/>
      <c r="B179" s="247"/>
      <c r="C179" s="248"/>
      <c r="D179" s="251"/>
      <c r="E179" s="252"/>
      <c r="F179" s="251"/>
      <c r="G179" s="251"/>
      <c r="H179" s="251"/>
      <c r="I179" s="251"/>
    </row>
    <row r="180" spans="1:9" x14ac:dyDescent="0.25">
      <c r="A180" s="247"/>
      <c r="B180" s="247"/>
      <c r="C180" s="248"/>
      <c r="D180" s="251"/>
      <c r="E180" s="252"/>
      <c r="F180" s="251"/>
      <c r="G180" s="251"/>
      <c r="H180" s="251"/>
      <c r="I180" s="251"/>
    </row>
    <row r="181" spans="1:9" x14ac:dyDescent="0.25">
      <c r="A181" s="247"/>
      <c r="B181" s="247"/>
      <c r="C181" s="248"/>
      <c r="D181" s="251"/>
      <c r="E181" s="252"/>
      <c r="F181" s="251"/>
      <c r="G181" s="251"/>
      <c r="H181" s="251"/>
      <c r="I181" s="251"/>
    </row>
    <row r="182" spans="1:9" x14ac:dyDescent="0.25">
      <c r="A182" s="247"/>
      <c r="B182" s="247"/>
      <c r="C182" s="248"/>
      <c r="D182" s="251"/>
      <c r="E182" s="252"/>
      <c r="F182" s="251"/>
      <c r="G182" s="251"/>
      <c r="H182" s="251"/>
      <c r="I182" s="251"/>
    </row>
    <row r="183" spans="1:9" x14ac:dyDescent="0.25">
      <c r="A183" s="247"/>
      <c r="B183" s="247"/>
      <c r="C183" s="248"/>
      <c r="D183" s="251"/>
      <c r="E183" s="252"/>
      <c r="F183" s="251"/>
      <c r="G183" s="251"/>
      <c r="H183" s="251"/>
      <c r="I183" s="251"/>
    </row>
    <row r="184" spans="1:9" x14ac:dyDescent="0.25">
      <c r="A184" s="247"/>
      <c r="B184" s="247"/>
      <c r="C184" s="248"/>
      <c r="D184" s="251"/>
      <c r="E184" s="252"/>
      <c r="F184" s="251"/>
      <c r="G184" s="251"/>
      <c r="H184" s="251"/>
      <c r="I184" s="251"/>
    </row>
    <row r="185" spans="1:9" x14ac:dyDescent="0.25">
      <c r="A185" s="247"/>
      <c r="B185" s="247"/>
      <c r="C185" s="248"/>
      <c r="D185" s="251"/>
      <c r="E185" s="252"/>
      <c r="F185" s="251"/>
      <c r="G185" s="251"/>
      <c r="H185" s="251"/>
      <c r="I185" s="251"/>
    </row>
    <row r="186" spans="1:9" x14ac:dyDescent="0.25">
      <c r="A186" s="247"/>
      <c r="B186" s="247"/>
      <c r="C186" s="248"/>
      <c r="D186" s="251"/>
      <c r="E186" s="252"/>
      <c r="F186" s="251"/>
      <c r="G186" s="251"/>
      <c r="H186" s="251"/>
      <c r="I186" s="251"/>
    </row>
    <row r="187" spans="1:9" x14ac:dyDescent="0.25">
      <c r="A187" s="247"/>
      <c r="B187" s="247"/>
      <c r="C187" s="248"/>
      <c r="D187" s="251"/>
      <c r="E187" s="252"/>
      <c r="F187" s="251"/>
      <c r="G187" s="251"/>
      <c r="H187" s="251"/>
      <c r="I187" s="251"/>
    </row>
    <row r="188" spans="1:9" x14ac:dyDescent="0.25">
      <c r="A188" s="247"/>
      <c r="B188" s="247"/>
      <c r="C188" s="248"/>
      <c r="D188" s="251"/>
      <c r="E188" s="252"/>
      <c r="F188" s="251"/>
      <c r="G188" s="251"/>
      <c r="H188" s="251"/>
      <c r="I188" s="251"/>
    </row>
    <row r="189" spans="1:9" x14ac:dyDescent="0.25">
      <c r="D189" s="93"/>
      <c r="F189" s="93"/>
    </row>
    <row r="190" spans="1:9" x14ac:dyDescent="0.25">
      <c r="D190" s="93"/>
      <c r="F190" s="93"/>
    </row>
    <row r="191" spans="1:9" x14ac:dyDescent="0.25">
      <c r="D191" s="93"/>
      <c r="F191" s="93"/>
    </row>
    <row r="192" spans="1:9" x14ac:dyDescent="0.25">
      <c r="D192" s="93"/>
      <c r="F192" s="93"/>
    </row>
    <row r="193" spans="4:6" x14ac:dyDescent="0.25">
      <c r="D193" s="93"/>
      <c r="F193" s="93"/>
    </row>
    <row r="194" spans="4:6" x14ac:dyDescent="0.25">
      <c r="D194" s="93"/>
      <c r="F194" s="93"/>
    </row>
    <row r="195" spans="4:6" x14ac:dyDescent="0.25">
      <c r="D195" s="93"/>
      <c r="F195" s="93"/>
    </row>
    <row r="196" spans="4:6" x14ac:dyDescent="0.25">
      <c r="D196" s="93"/>
      <c r="F196" s="93"/>
    </row>
    <row r="197" spans="4:6" x14ac:dyDescent="0.25">
      <c r="D197" s="93"/>
      <c r="F197" s="93"/>
    </row>
    <row r="198" spans="4:6" x14ac:dyDescent="0.25">
      <c r="D198" s="93"/>
      <c r="F198" s="93"/>
    </row>
    <row r="199" spans="4:6" x14ac:dyDescent="0.25">
      <c r="D199" s="93"/>
      <c r="F199" s="93"/>
    </row>
    <row r="200" spans="4:6" x14ac:dyDescent="0.25">
      <c r="D200" s="93"/>
      <c r="F200" s="93"/>
    </row>
    <row r="201" spans="4:6" x14ac:dyDescent="0.25">
      <c r="D201" s="93"/>
      <c r="F201" s="93"/>
    </row>
    <row r="202" spans="4:6" x14ac:dyDescent="0.25">
      <c r="D202" s="93"/>
      <c r="F202" s="93"/>
    </row>
    <row r="203" spans="4:6" x14ac:dyDescent="0.25">
      <c r="D203" s="93"/>
      <c r="F203" s="93"/>
    </row>
    <row r="204" spans="4:6" x14ac:dyDescent="0.25">
      <c r="D204" s="93"/>
      <c r="F204" s="93"/>
    </row>
    <row r="205" spans="4:6" x14ac:dyDescent="0.25">
      <c r="D205" s="93"/>
      <c r="F205" s="93"/>
    </row>
    <row r="206" spans="4:6" x14ac:dyDescent="0.25">
      <c r="D206" s="93"/>
      <c r="F206" s="93"/>
    </row>
    <row r="207" spans="4:6" x14ac:dyDescent="0.25">
      <c r="D207" s="93"/>
      <c r="F207" s="93"/>
    </row>
    <row r="208" spans="4:6" x14ac:dyDescent="0.25">
      <c r="D208" s="93"/>
      <c r="F208" s="93"/>
    </row>
    <row r="209" spans="4:6" x14ac:dyDescent="0.25">
      <c r="D209" s="93"/>
      <c r="F209" s="93"/>
    </row>
    <row r="210" spans="4:6" x14ac:dyDescent="0.25">
      <c r="D210" s="93"/>
      <c r="F210" s="93"/>
    </row>
    <row r="211" spans="4:6" x14ac:dyDescent="0.25">
      <c r="D211" s="93"/>
      <c r="F211" s="93"/>
    </row>
    <row r="212" spans="4:6" x14ac:dyDescent="0.25">
      <c r="D212" s="93"/>
      <c r="F212" s="93"/>
    </row>
    <row r="213" spans="4:6" x14ac:dyDescent="0.25">
      <c r="D213" s="93"/>
      <c r="F213" s="93"/>
    </row>
    <row r="214" spans="4:6" x14ac:dyDescent="0.25">
      <c r="D214" s="93"/>
      <c r="F214" s="93"/>
    </row>
    <row r="215" spans="4:6" x14ac:dyDescent="0.25">
      <c r="D215" s="93"/>
      <c r="F215" s="93"/>
    </row>
    <row r="216" spans="4:6" x14ac:dyDescent="0.25">
      <c r="D216" s="93"/>
      <c r="F216" s="93"/>
    </row>
    <row r="217" spans="4:6" x14ac:dyDescent="0.25">
      <c r="D217" s="93"/>
      <c r="F217" s="93"/>
    </row>
    <row r="218" spans="4:6" x14ac:dyDescent="0.25">
      <c r="D218" s="93"/>
      <c r="F218" s="93"/>
    </row>
    <row r="219" spans="4:6" x14ac:dyDescent="0.25">
      <c r="D219" s="93"/>
      <c r="F219" s="93"/>
    </row>
    <row r="220" spans="4:6" x14ac:dyDescent="0.25">
      <c r="D220" s="93"/>
      <c r="F220" s="93"/>
    </row>
    <row r="221" spans="4:6" x14ac:dyDescent="0.25">
      <c r="D221" s="93"/>
      <c r="F221" s="93"/>
    </row>
    <row r="222" spans="4:6" x14ac:dyDescent="0.25">
      <c r="D222" s="93"/>
      <c r="F222" s="93"/>
    </row>
    <row r="223" spans="4:6" x14ac:dyDescent="0.25">
      <c r="D223" s="93"/>
      <c r="F223" s="93"/>
    </row>
    <row r="224" spans="4:6" x14ac:dyDescent="0.25">
      <c r="D224" s="93"/>
      <c r="F224" s="93"/>
    </row>
    <row r="225" spans="4:6" x14ac:dyDescent="0.25">
      <c r="D225" s="93"/>
      <c r="F225" s="93"/>
    </row>
    <row r="226" spans="4:6" x14ac:dyDescent="0.25">
      <c r="D226" s="93"/>
      <c r="F226" s="93"/>
    </row>
    <row r="227" spans="4:6" x14ac:dyDescent="0.25">
      <c r="D227" s="93"/>
      <c r="F227" s="93"/>
    </row>
    <row r="228" spans="4:6" x14ac:dyDescent="0.25">
      <c r="D228" s="93"/>
      <c r="F228" s="93"/>
    </row>
    <row r="229" spans="4:6" x14ac:dyDescent="0.25">
      <c r="D229" s="93"/>
      <c r="F229" s="93"/>
    </row>
    <row r="230" spans="4:6" x14ac:dyDescent="0.25">
      <c r="D230" s="93"/>
      <c r="F230" s="93"/>
    </row>
    <row r="231" spans="4:6" x14ac:dyDescent="0.25">
      <c r="D231" s="93"/>
      <c r="F231" s="93"/>
    </row>
    <row r="232" spans="4:6" x14ac:dyDescent="0.25">
      <c r="D232" s="93"/>
      <c r="F232" s="93"/>
    </row>
    <row r="233" spans="4:6" x14ac:dyDescent="0.25">
      <c r="D233" s="93"/>
      <c r="F233" s="93"/>
    </row>
    <row r="234" spans="4:6" x14ac:dyDescent="0.25">
      <c r="D234" s="93"/>
      <c r="F234" s="93"/>
    </row>
    <row r="235" spans="4:6" x14ac:dyDescent="0.25">
      <c r="D235" s="93"/>
      <c r="F235" s="93"/>
    </row>
    <row r="236" spans="4:6" x14ac:dyDescent="0.25">
      <c r="D236" s="93"/>
      <c r="F236" s="93"/>
    </row>
    <row r="237" spans="4:6" x14ac:dyDescent="0.25">
      <c r="D237" s="93"/>
      <c r="F237" s="93"/>
    </row>
    <row r="238" spans="4:6" x14ac:dyDescent="0.25">
      <c r="D238" s="93"/>
      <c r="F238" s="93"/>
    </row>
    <row r="239" spans="4:6" x14ac:dyDescent="0.25">
      <c r="D239" s="93"/>
      <c r="F239" s="93"/>
    </row>
    <row r="240" spans="4:6" x14ac:dyDescent="0.25">
      <c r="D240" s="93"/>
      <c r="F240" s="93"/>
    </row>
    <row r="241" spans="4:6" x14ac:dyDescent="0.25">
      <c r="D241" s="93"/>
      <c r="F241" s="93"/>
    </row>
    <row r="242" spans="4:6" x14ac:dyDescent="0.25">
      <c r="D242" s="93"/>
      <c r="F242" s="93"/>
    </row>
    <row r="243" spans="4:6" x14ac:dyDescent="0.25">
      <c r="D243" s="93"/>
      <c r="F243" s="93"/>
    </row>
    <row r="244" spans="4:6" x14ac:dyDescent="0.25">
      <c r="D244" s="93"/>
      <c r="F244" s="93"/>
    </row>
    <row r="245" spans="4:6" x14ac:dyDescent="0.25">
      <c r="D245" s="93"/>
      <c r="F245" s="93"/>
    </row>
    <row r="246" spans="4:6" x14ac:dyDescent="0.25">
      <c r="D246" s="93"/>
      <c r="F246" s="93"/>
    </row>
    <row r="247" spans="4:6" x14ac:dyDescent="0.25">
      <c r="D247" s="93"/>
      <c r="F247" s="93"/>
    </row>
    <row r="248" spans="4:6" x14ac:dyDescent="0.25">
      <c r="D248" s="93"/>
      <c r="F248" s="93"/>
    </row>
    <row r="249" spans="4:6" x14ac:dyDescent="0.25">
      <c r="D249" s="93"/>
      <c r="F249" s="93"/>
    </row>
    <row r="250" spans="4:6" x14ac:dyDescent="0.25">
      <c r="D250" s="93"/>
      <c r="F250" s="93"/>
    </row>
    <row r="251" spans="4:6" x14ac:dyDescent="0.25">
      <c r="D251" s="93"/>
      <c r="F251" s="93"/>
    </row>
  </sheetData>
  <mergeCells count="73">
    <mergeCell ref="A6:I7"/>
    <mergeCell ref="A8:I8"/>
    <mergeCell ref="I9:I10"/>
    <mergeCell ref="A1:I1"/>
    <mergeCell ref="B2:I2"/>
    <mergeCell ref="B3:I3"/>
    <mergeCell ref="B4:I4"/>
    <mergeCell ref="B5:I5"/>
    <mergeCell ref="A19:B19"/>
    <mergeCell ref="G19:H19"/>
    <mergeCell ref="A9:A10"/>
    <mergeCell ref="C9:C10"/>
    <mergeCell ref="D9:D10"/>
    <mergeCell ref="E9:E10"/>
    <mergeCell ref="H9:H10"/>
    <mergeCell ref="F9:G9"/>
    <mergeCell ref="B9:B10"/>
    <mergeCell ref="A14:F14"/>
    <mergeCell ref="A16:I16"/>
    <mergeCell ref="A17:B18"/>
    <mergeCell ref="C17:C18"/>
    <mergeCell ref="D17:D18"/>
    <mergeCell ref="E17:E18"/>
    <mergeCell ref="G17:H18"/>
    <mergeCell ref="I17:I18"/>
    <mergeCell ref="A28:B28"/>
    <mergeCell ref="G28:H28"/>
    <mergeCell ref="A29:B29"/>
    <mergeCell ref="G29:H2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H38:I38"/>
    <mergeCell ref="A30:B30"/>
    <mergeCell ref="G30:H30"/>
    <mergeCell ref="A31:B31"/>
    <mergeCell ref="G31:H31"/>
    <mergeCell ref="A32:F32"/>
    <mergeCell ref="G32:H32"/>
    <mergeCell ref="A33:E33"/>
    <mergeCell ref="G33:H33"/>
    <mergeCell ref="A35:I35"/>
    <mergeCell ref="H36:I36"/>
    <mergeCell ref="A37:B37"/>
    <mergeCell ref="D37:E37"/>
    <mergeCell ref="F37:G37"/>
    <mergeCell ref="H37:I37"/>
    <mergeCell ref="D53:F53"/>
    <mergeCell ref="A36:B36"/>
    <mergeCell ref="D36:E36"/>
    <mergeCell ref="F36:G36"/>
    <mergeCell ref="A38:B38"/>
    <mergeCell ref="D38:E38"/>
    <mergeCell ref="F38:G38"/>
    <mergeCell ref="A39:G39"/>
    <mergeCell ref="H39:I39"/>
    <mergeCell ref="D41:F41"/>
    <mergeCell ref="D50:E50"/>
    <mergeCell ref="D51:E51"/>
    <mergeCell ref="D52:F52"/>
  </mergeCells>
  <phoneticPr fontId="8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59" fitToHeight="0" orientation="portrait" r:id="rId1"/>
  <rowBreaks count="1" manualBreakCount="1">
    <brk id="113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>
    <tabColor theme="3" tint="-0.249977111117893"/>
    <pageSetUpPr fitToPage="1"/>
  </sheetPr>
  <dimension ref="A1:W192"/>
  <sheetViews>
    <sheetView tabSelected="1" view="pageBreakPreview" zoomScale="85" zoomScaleNormal="100" zoomScaleSheetLayoutView="85" workbookViewId="0">
      <selection activeCell="O29" sqref="O29"/>
    </sheetView>
  </sheetViews>
  <sheetFormatPr defaultRowHeight="15" x14ac:dyDescent="0.25"/>
  <cols>
    <col min="1" max="1" width="11" customWidth="1"/>
    <col min="2" max="2" width="20.28515625" customWidth="1"/>
    <col min="3" max="3" width="11.5703125" customWidth="1"/>
    <col min="4" max="4" width="15.5703125" customWidth="1"/>
    <col min="5" max="5" width="16.42578125" customWidth="1"/>
    <col min="6" max="6" width="12.28515625" customWidth="1"/>
    <col min="7" max="7" width="11.42578125" customWidth="1"/>
    <col min="8" max="8" width="14.7109375" customWidth="1"/>
    <col min="9" max="9" width="12.7109375" customWidth="1"/>
    <col min="10" max="10" width="11.42578125" customWidth="1"/>
    <col min="11" max="11" width="14.85546875" customWidth="1"/>
    <col min="12" max="12" width="12.140625" customWidth="1"/>
    <col min="13" max="13" width="11.42578125" customWidth="1"/>
    <col min="14" max="14" width="14.7109375" customWidth="1"/>
    <col min="15" max="15" width="11.5703125" customWidth="1"/>
    <col min="16" max="16" width="10.7109375" customWidth="1"/>
    <col min="17" max="17" width="13.5703125" customWidth="1"/>
    <col min="18" max="18" width="11.5703125" customWidth="1"/>
    <col min="19" max="19" width="10.85546875" customWidth="1"/>
    <col min="20" max="20" width="14.42578125" customWidth="1"/>
    <col min="21" max="21" width="11.85546875" customWidth="1"/>
    <col min="22" max="22" width="12.7109375" customWidth="1"/>
    <col min="23" max="23" width="14.85546875" customWidth="1"/>
  </cols>
  <sheetData>
    <row r="1" spans="1:23" ht="55.5" customHeight="1" thickBot="1" x14ac:dyDescent="0.3">
      <c r="A1" s="685" t="s">
        <v>386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6"/>
      <c r="R1" s="686"/>
      <c r="S1" s="686"/>
      <c r="T1" s="686"/>
      <c r="U1" s="686"/>
      <c r="V1" s="686"/>
      <c r="W1" s="687"/>
    </row>
    <row r="2" spans="1:23" ht="15.75" customHeight="1" x14ac:dyDescent="0.25">
      <c r="A2" s="143" t="s">
        <v>12</v>
      </c>
      <c r="B2" s="474" t="str">
        <f>'PLANILHA ORÇAMENTARIA'!B2:E2</f>
        <v>ESCOLA MUNICIPAL DOMINGOS AZZONLINI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</row>
    <row r="3" spans="1:23" x14ac:dyDescent="0.25">
      <c r="A3" s="144" t="s">
        <v>13</v>
      </c>
      <c r="B3" s="474" t="str">
        <f>'PLANILHA ORÇAMENTARIA'!B3:E3</f>
        <v>SANTO ANTÔNIO DO LESTE - MT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</row>
    <row r="4" spans="1:23" x14ac:dyDescent="0.25">
      <c r="A4" s="144" t="s">
        <v>14</v>
      </c>
      <c r="B4" s="474" t="str">
        <f>'PLANILHA ORÇAMENTARIA'!B4:E4</f>
        <v>PREFEITURA MUNICIPAL DE SANTO ANTÔNIO DO LESTE - MT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</row>
    <row r="5" spans="1:23" ht="15.75" thickBot="1" x14ac:dyDescent="0.3">
      <c r="A5" s="164" t="s">
        <v>15</v>
      </c>
      <c r="B5" s="467">
        <f>'PLANILHA ORÇAMENTARIA'!B5:E5</f>
        <v>44810</v>
      </c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</row>
    <row r="6" spans="1:23" ht="15" customHeight="1" x14ac:dyDescent="0.25">
      <c r="A6" s="532" t="s">
        <v>305</v>
      </c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69"/>
      <c r="R6" s="669"/>
      <c r="S6" s="669"/>
      <c r="T6" s="669"/>
      <c r="U6" s="669"/>
      <c r="V6" s="669"/>
      <c r="W6" s="670"/>
    </row>
    <row r="7" spans="1:23" ht="9.75" customHeight="1" thickBot="1" x14ac:dyDescent="0.3">
      <c r="A7" s="569"/>
      <c r="B7" s="570"/>
      <c r="C7" s="570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1"/>
    </row>
    <row r="8" spans="1:23" ht="6.75" customHeight="1" x14ac:dyDescent="0.25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</row>
    <row r="9" spans="1:23" ht="23.25" customHeight="1" thickBot="1" x14ac:dyDescent="0.3">
      <c r="B9" s="693" t="s">
        <v>424</v>
      </c>
      <c r="C9" s="694"/>
      <c r="D9" s="694"/>
      <c r="E9" s="694"/>
      <c r="F9" s="694"/>
      <c r="G9" s="694"/>
      <c r="H9" s="694"/>
      <c r="I9" s="694"/>
      <c r="J9" s="694"/>
      <c r="K9" s="694"/>
      <c r="L9" s="694"/>
      <c r="M9" s="694"/>
      <c r="N9" s="694"/>
      <c r="O9" s="694"/>
      <c r="P9" s="694"/>
      <c r="Q9" s="694"/>
      <c r="R9" s="694"/>
      <c r="S9" s="694"/>
      <c r="T9" s="694"/>
      <c r="U9" s="694"/>
      <c r="V9" s="694"/>
      <c r="W9" s="694"/>
    </row>
    <row r="10" spans="1:23" x14ac:dyDescent="0.25">
      <c r="B10" s="695"/>
      <c r="C10" s="696"/>
      <c r="D10" s="697"/>
      <c r="E10" s="707" t="s">
        <v>221</v>
      </c>
      <c r="F10" s="708"/>
      <c r="G10" s="691"/>
      <c r="H10" s="701" t="s">
        <v>363</v>
      </c>
      <c r="I10" s="702"/>
      <c r="J10" s="703"/>
      <c r="K10" s="701" t="s">
        <v>364</v>
      </c>
      <c r="L10" s="702"/>
      <c r="M10" s="703"/>
      <c r="N10" s="707" t="s">
        <v>226</v>
      </c>
      <c r="O10" s="708"/>
      <c r="P10" s="691"/>
      <c r="Q10" s="701" t="s">
        <v>365</v>
      </c>
      <c r="R10" s="702"/>
      <c r="S10" s="703"/>
      <c r="T10" s="701" t="s">
        <v>366</v>
      </c>
      <c r="U10" s="702"/>
      <c r="V10" s="703"/>
      <c r="W10" s="691" t="s">
        <v>430</v>
      </c>
    </row>
    <row r="11" spans="1:23" ht="15.75" thickBot="1" x14ac:dyDescent="0.3">
      <c r="B11" s="698"/>
      <c r="C11" s="699"/>
      <c r="D11" s="700"/>
      <c r="E11" s="709"/>
      <c r="F11" s="710"/>
      <c r="G11" s="692"/>
      <c r="H11" s="704"/>
      <c r="I11" s="705"/>
      <c r="J11" s="706"/>
      <c r="K11" s="704"/>
      <c r="L11" s="705"/>
      <c r="M11" s="706"/>
      <c r="N11" s="709"/>
      <c r="O11" s="710"/>
      <c r="P11" s="692"/>
      <c r="Q11" s="704"/>
      <c r="R11" s="705"/>
      <c r="S11" s="706"/>
      <c r="T11" s="704"/>
      <c r="U11" s="705"/>
      <c r="V11" s="706"/>
      <c r="W11" s="692"/>
    </row>
    <row r="12" spans="1:23" ht="15.75" thickBot="1" x14ac:dyDescent="0.3">
      <c r="B12" s="210" t="s">
        <v>222</v>
      </c>
      <c r="C12" s="216" t="s">
        <v>425</v>
      </c>
      <c r="D12" s="216" t="s">
        <v>426</v>
      </c>
      <c r="E12" s="211" t="s">
        <v>361</v>
      </c>
      <c r="F12" s="205" t="s">
        <v>356</v>
      </c>
      <c r="G12" s="206" t="s">
        <v>357</v>
      </c>
      <c r="H12" s="211" t="s">
        <v>361</v>
      </c>
      <c r="I12" s="205" t="s">
        <v>356</v>
      </c>
      <c r="J12" s="206" t="s">
        <v>357</v>
      </c>
      <c r="K12" s="211" t="s">
        <v>361</v>
      </c>
      <c r="L12" s="205" t="s">
        <v>356</v>
      </c>
      <c r="M12" s="206" t="s">
        <v>357</v>
      </c>
      <c r="N12" s="211" t="s">
        <v>361</v>
      </c>
      <c r="O12" s="205" t="s">
        <v>356</v>
      </c>
      <c r="P12" s="206" t="s">
        <v>357</v>
      </c>
      <c r="Q12" s="211" t="s">
        <v>361</v>
      </c>
      <c r="R12" s="205" t="s">
        <v>356</v>
      </c>
      <c r="S12" s="206" t="s">
        <v>357</v>
      </c>
      <c r="T12" s="211" t="s">
        <v>361</v>
      </c>
      <c r="U12" s="205" t="s">
        <v>356</v>
      </c>
      <c r="V12" s="206" t="s">
        <v>357</v>
      </c>
      <c r="W12" s="206" t="s">
        <v>357</v>
      </c>
    </row>
    <row r="13" spans="1:23" x14ac:dyDescent="0.25">
      <c r="B13" s="161" t="s">
        <v>346</v>
      </c>
      <c r="C13" s="217" t="s">
        <v>427</v>
      </c>
      <c r="D13" s="220"/>
      <c r="E13" s="229" t="s">
        <v>144</v>
      </c>
      <c r="F13" s="231" t="s">
        <v>144</v>
      </c>
      <c r="G13" s="232" t="s">
        <v>144</v>
      </c>
      <c r="H13" s="229" t="s">
        <v>144</v>
      </c>
      <c r="I13" s="231" t="s">
        <v>144</v>
      </c>
      <c r="J13" s="232" t="s">
        <v>144</v>
      </c>
      <c r="K13" s="229">
        <f>6.15+6.15</f>
        <v>12.3</v>
      </c>
      <c r="L13" s="212">
        <v>3</v>
      </c>
      <c r="M13" s="226">
        <f>(K13*L13)</f>
        <v>36.900000000000006</v>
      </c>
      <c r="N13" s="229" t="s">
        <v>144</v>
      </c>
      <c r="O13" s="231" t="s">
        <v>144</v>
      </c>
      <c r="P13" s="241" t="s">
        <v>144</v>
      </c>
      <c r="Q13" s="229" t="s">
        <v>144</v>
      </c>
      <c r="R13" s="231" t="s">
        <v>144</v>
      </c>
      <c r="S13" s="232" t="s">
        <v>144</v>
      </c>
      <c r="T13" s="229">
        <v>27.4</v>
      </c>
      <c r="U13" s="212">
        <v>3</v>
      </c>
      <c r="V13" s="83">
        <f>(T13*U13)</f>
        <v>82.199999999999989</v>
      </c>
      <c r="W13" s="243" t="s">
        <v>144</v>
      </c>
    </row>
    <row r="14" spans="1:23" x14ac:dyDescent="0.25">
      <c r="B14" s="114" t="s">
        <v>347</v>
      </c>
      <c r="C14" s="218" t="s">
        <v>427</v>
      </c>
      <c r="D14" s="221"/>
      <c r="E14" s="230" t="s">
        <v>144</v>
      </c>
      <c r="F14" s="29" t="s">
        <v>144</v>
      </c>
      <c r="G14" s="233" t="s">
        <v>144</v>
      </c>
      <c r="H14" s="230" t="s">
        <v>144</v>
      </c>
      <c r="I14" s="29" t="s">
        <v>144</v>
      </c>
      <c r="J14" s="233" t="s">
        <v>144</v>
      </c>
      <c r="K14" s="230">
        <f>7+7</f>
        <v>14</v>
      </c>
      <c r="L14" s="4">
        <v>3</v>
      </c>
      <c r="M14" s="237">
        <f t="shared" ref="M14:M54" si="0">(K14*L14)</f>
        <v>42</v>
      </c>
      <c r="N14" s="230" t="s">
        <v>144</v>
      </c>
      <c r="O14" s="29" t="s">
        <v>144</v>
      </c>
      <c r="P14" s="238" t="s">
        <v>144</v>
      </c>
      <c r="Q14" s="230" t="s">
        <v>144</v>
      </c>
      <c r="R14" s="29" t="s">
        <v>144</v>
      </c>
      <c r="S14" s="233" t="s">
        <v>144</v>
      </c>
      <c r="T14" s="230">
        <v>26</v>
      </c>
      <c r="U14" s="4">
        <v>3</v>
      </c>
      <c r="V14" s="85">
        <f t="shared" ref="V14:V54" si="1">(T14*U14)</f>
        <v>78</v>
      </c>
      <c r="W14" s="244" t="s">
        <v>144</v>
      </c>
    </row>
    <row r="15" spans="1:23" x14ac:dyDescent="0.25">
      <c r="B15" s="114" t="s">
        <v>348</v>
      </c>
      <c r="C15" s="218" t="s">
        <v>427</v>
      </c>
      <c r="D15" s="221"/>
      <c r="E15" s="230" t="s">
        <v>144</v>
      </c>
      <c r="F15" s="29" t="s">
        <v>144</v>
      </c>
      <c r="G15" s="233" t="s">
        <v>144</v>
      </c>
      <c r="H15" s="230" t="s">
        <v>144</v>
      </c>
      <c r="I15" s="29" t="s">
        <v>144</v>
      </c>
      <c r="J15" s="233" t="s">
        <v>144</v>
      </c>
      <c r="K15" s="230">
        <f>6.3+6.3+6.45</f>
        <v>19.05</v>
      </c>
      <c r="L15" s="4">
        <v>3</v>
      </c>
      <c r="M15" s="237">
        <f t="shared" si="0"/>
        <v>57.150000000000006</v>
      </c>
      <c r="N15" s="230" t="s">
        <v>144</v>
      </c>
      <c r="O15" s="29" t="s">
        <v>144</v>
      </c>
      <c r="P15" s="238" t="s">
        <v>144</v>
      </c>
      <c r="Q15" s="230" t="s">
        <v>144</v>
      </c>
      <c r="R15" s="29" t="s">
        <v>144</v>
      </c>
      <c r="S15" s="233" t="s">
        <v>144</v>
      </c>
      <c r="T15" s="230">
        <v>24.3</v>
      </c>
      <c r="U15" s="4">
        <v>3</v>
      </c>
      <c r="V15" s="85">
        <f t="shared" si="1"/>
        <v>72.900000000000006</v>
      </c>
      <c r="W15" s="244" t="s">
        <v>144</v>
      </c>
    </row>
    <row r="16" spans="1:23" x14ac:dyDescent="0.25">
      <c r="B16" s="114" t="s">
        <v>349</v>
      </c>
      <c r="C16" s="218" t="s">
        <v>427</v>
      </c>
      <c r="D16" s="221"/>
      <c r="E16" s="230" t="s">
        <v>144</v>
      </c>
      <c r="F16" s="29" t="s">
        <v>144</v>
      </c>
      <c r="G16" s="233" t="s">
        <v>144</v>
      </c>
      <c r="H16" s="230" t="s">
        <v>144</v>
      </c>
      <c r="I16" s="29" t="s">
        <v>144</v>
      </c>
      <c r="J16" s="233" t="s">
        <v>144</v>
      </c>
      <c r="K16" s="230">
        <f>6.15+6.15+8</f>
        <v>20.3</v>
      </c>
      <c r="L16" s="4">
        <v>3</v>
      </c>
      <c r="M16" s="237">
        <f t="shared" si="0"/>
        <v>60.900000000000006</v>
      </c>
      <c r="N16" s="230" t="s">
        <v>144</v>
      </c>
      <c r="O16" s="29" t="s">
        <v>144</v>
      </c>
      <c r="P16" s="238" t="s">
        <v>144</v>
      </c>
      <c r="Q16" s="230" t="s">
        <v>144</v>
      </c>
      <c r="R16" s="29" t="s">
        <v>144</v>
      </c>
      <c r="S16" s="233" t="s">
        <v>144</v>
      </c>
      <c r="T16" s="230">
        <v>27.4</v>
      </c>
      <c r="U16" s="4">
        <v>3</v>
      </c>
      <c r="V16" s="85">
        <f t="shared" si="1"/>
        <v>82.199999999999989</v>
      </c>
      <c r="W16" s="244" t="s">
        <v>144</v>
      </c>
    </row>
    <row r="17" spans="2:23" x14ac:dyDescent="0.25">
      <c r="B17" s="114" t="s">
        <v>350</v>
      </c>
      <c r="C17" s="218" t="s">
        <v>427</v>
      </c>
      <c r="D17" s="221"/>
      <c r="E17" s="230" t="s">
        <v>144</v>
      </c>
      <c r="F17" s="29" t="s">
        <v>144</v>
      </c>
      <c r="G17" s="233" t="s">
        <v>144</v>
      </c>
      <c r="H17" s="230" t="s">
        <v>144</v>
      </c>
      <c r="I17" s="29" t="s">
        <v>144</v>
      </c>
      <c r="J17" s="233" t="s">
        <v>144</v>
      </c>
      <c r="K17" s="230">
        <f>6.35+6.35+8</f>
        <v>20.7</v>
      </c>
      <c r="L17" s="4">
        <v>3</v>
      </c>
      <c r="M17" s="237">
        <f t="shared" si="0"/>
        <v>62.099999999999994</v>
      </c>
      <c r="N17" s="230" t="s">
        <v>144</v>
      </c>
      <c r="O17" s="29" t="s">
        <v>144</v>
      </c>
      <c r="P17" s="238" t="s">
        <v>144</v>
      </c>
      <c r="Q17" s="230" t="s">
        <v>144</v>
      </c>
      <c r="R17" s="29" t="s">
        <v>144</v>
      </c>
      <c r="S17" s="233" t="s">
        <v>144</v>
      </c>
      <c r="T17" s="230">
        <v>27.5</v>
      </c>
      <c r="U17" s="4">
        <v>3</v>
      </c>
      <c r="V17" s="85">
        <f t="shared" si="1"/>
        <v>82.5</v>
      </c>
      <c r="W17" s="244" t="s">
        <v>144</v>
      </c>
    </row>
    <row r="18" spans="2:23" x14ac:dyDescent="0.25">
      <c r="B18" s="114" t="s">
        <v>351</v>
      </c>
      <c r="C18" s="218" t="s">
        <v>427</v>
      </c>
      <c r="D18" s="221"/>
      <c r="E18" s="230" t="s">
        <v>144</v>
      </c>
      <c r="F18" s="29" t="s">
        <v>144</v>
      </c>
      <c r="G18" s="233" t="s">
        <v>144</v>
      </c>
      <c r="H18" s="230" t="s">
        <v>144</v>
      </c>
      <c r="I18" s="29" t="s">
        <v>144</v>
      </c>
      <c r="J18" s="233" t="s">
        <v>144</v>
      </c>
      <c r="K18" s="230">
        <f>6.2+6.2</f>
        <v>12.4</v>
      </c>
      <c r="L18" s="4">
        <v>3</v>
      </c>
      <c r="M18" s="237">
        <f t="shared" si="0"/>
        <v>37.200000000000003</v>
      </c>
      <c r="N18" s="230" t="s">
        <v>144</v>
      </c>
      <c r="O18" s="29" t="s">
        <v>144</v>
      </c>
      <c r="P18" s="238" t="s">
        <v>144</v>
      </c>
      <c r="Q18" s="230" t="s">
        <v>144</v>
      </c>
      <c r="R18" s="29" t="s">
        <v>144</v>
      </c>
      <c r="S18" s="233" t="s">
        <v>144</v>
      </c>
      <c r="T18" s="230">
        <v>27.5</v>
      </c>
      <c r="U18" s="4">
        <v>3</v>
      </c>
      <c r="V18" s="85">
        <f t="shared" si="1"/>
        <v>82.5</v>
      </c>
      <c r="W18" s="244" t="s">
        <v>144</v>
      </c>
    </row>
    <row r="19" spans="2:23" x14ac:dyDescent="0.25">
      <c r="B19" s="114" t="s">
        <v>399</v>
      </c>
      <c r="C19" s="218" t="s">
        <v>427</v>
      </c>
      <c r="D19" s="221"/>
      <c r="E19" s="230" t="s">
        <v>144</v>
      </c>
      <c r="F19" s="29" t="s">
        <v>144</v>
      </c>
      <c r="G19" s="233" t="s">
        <v>144</v>
      </c>
      <c r="H19" s="230" t="s">
        <v>144</v>
      </c>
      <c r="I19" s="29" t="s">
        <v>144</v>
      </c>
      <c r="J19" s="233" t="s">
        <v>144</v>
      </c>
      <c r="K19" s="230">
        <f>6.2+6.2</f>
        <v>12.4</v>
      </c>
      <c r="L19" s="4">
        <v>3</v>
      </c>
      <c r="M19" s="237">
        <f t="shared" si="0"/>
        <v>37.200000000000003</v>
      </c>
      <c r="N19" s="230" t="s">
        <v>144</v>
      </c>
      <c r="O19" s="29" t="s">
        <v>144</v>
      </c>
      <c r="P19" s="238" t="s">
        <v>144</v>
      </c>
      <c r="Q19" s="230" t="s">
        <v>144</v>
      </c>
      <c r="R19" s="29" t="s">
        <v>144</v>
      </c>
      <c r="S19" s="233" t="s">
        <v>144</v>
      </c>
      <c r="T19" s="230">
        <v>27.5</v>
      </c>
      <c r="U19" s="4">
        <v>3</v>
      </c>
      <c r="V19" s="85">
        <f t="shared" si="1"/>
        <v>82.5</v>
      </c>
      <c r="W19" s="244" t="s">
        <v>144</v>
      </c>
    </row>
    <row r="20" spans="2:23" x14ac:dyDescent="0.25">
      <c r="B20" s="114" t="s">
        <v>400</v>
      </c>
      <c r="C20" s="218" t="s">
        <v>427</v>
      </c>
      <c r="D20" s="221"/>
      <c r="E20" s="230" t="s">
        <v>144</v>
      </c>
      <c r="F20" s="29" t="s">
        <v>144</v>
      </c>
      <c r="G20" s="233" t="s">
        <v>144</v>
      </c>
      <c r="H20" s="230" t="s">
        <v>144</v>
      </c>
      <c r="I20" s="29" t="s">
        <v>144</v>
      </c>
      <c r="J20" s="233" t="s">
        <v>144</v>
      </c>
      <c r="K20" s="230">
        <f>6.3+6.3+8</f>
        <v>20.6</v>
      </c>
      <c r="L20" s="4">
        <v>3</v>
      </c>
      <c r="M20" s="237">
        <f t="shared" si="0"/>
        <v>61.800000000000004</v>
      </c>
      <c r="N20" s="230" t="s">
        <v>144</v>
      </c>
      <c r="O20" s="29" t="s">
        <v>144</v>
      </c>
      <c r="P20" s="238" t="s">
        <v>144</v>
      </c>
      <c r="Q20" s="230" t="s">
        <v>144</v>
      </c>
      <c r="R20" s="29" t="s">
        <v>144</v>
      </c>
      <c r="S20" s="233" t="s">
        <v>144</v>
      </c>
      <c r="T20" s="230">
        <v>27.4</v>
      </c>
      <c r="U20" s="4">
        <v>3</v>
      </c>
      <c r="V20" s="85">
        <f t="shared" si="1"/>
        <v>82.199999999999989</v>
      </c>
      <c r="W20" s="244" t="s">
        <v>144</v>
      </c>
    </row>
    <row r="21" spans="2:23" x14ac:dyDescent="0.25">
      <c r="B21" s="114" t="s">
        <v>401</v>
      </c>
      <c r="C21" s="218" t="s">
        <v>427</v>
      </c>
      <c r="D21" s="221"/>
      <c r="E21" s="230" t="s">
        <v>144</v>
      </c>
      <c r="F21" s="29" t="s">
        <v>144</v>
      </c>
      <c r="G21" s="233" t="s">
        <v>144</v>
      </c>
      <c r="H21" s="230" t="s">
        <v>144</v>
      </c>
      <c r="I21" s="29" t="s">
        <v>144</v>
      </c>
      <c r="J21" s="233" t="s">
        <v>144</v>
      </c>
      <c r="K21" s="230">
        <f>6.15+6.15+8</f>
        <v>20.3</v>
      </c>
      <c r="L21" s="4">
        <v>3</v>
      </c>
      <c r="M21" s="237">
        <f t="shared" si="0"/>
        <v>60.900000000000006</v>
      </c>
      <c r="N21" s="230" t="s">
        <v>144</v>
      </c>
      <c r="O21" s="29" t="s">
        <v>144</v>
      </c>
      <c r="P21" s="238" t="s">
        <v>144</v>
      </c>
      <c r="Q21" s="230" t="s">
        <v>144</v>
      </c>
      <c r="R21" s="29" t="s">
        <v>144</v>
      </c>
      <c r="S21" s="233" t="s">
        <v>144</v>
      </c>
      <c r="T21" s="230">
        <v>27.4</v>
      </c>
      <c r="U21" s="4">
        <v>3</v>
      </c>
      <c r="V21" s="85">
        <f t="shared" si="1"/>
        <v>82.199999999999989</v>
      </c>
      <c r="W21" s="244" t="s">
        <v>144</v>
      </c>
    </row>
    <row r="22" spans="2:23" x14ac:dyDescent="0.25">
      <c r="B22" s="114" t="s">
        <v>402</v>
      </c>
      <c r="C22" s="218" t="s">
        <v>427</v>
      </c>
      <c r="D22" s="221"/>
      <c r="E22" s="230" t="s">
        <v>144</v>
      </c>
      <c r="F22" s="29" t="s">
        <v>144</v>
      </c>
      <c r="G22" s="233" t="s">
        <v>144</v>
      </c>
      <c r="H22" s="230" t="s">
        <v>144</v>
      </c>
      <c r="I22" s="29" t="s">
        <v>144</v>
      </c>
      <c r="J22" s="233" t="s">
        <v>144</v>
      </c>
      <c r="K22" s="230">
        <v>11.3</v>
      </c>
      <c r="L22" s="4">
        <v>3</v>
      </c>
      <c r="M22" s="237">
        <f t="shared" si="0"/>
        <v>33.900000000000006</v>
      </c>
      <c r="N22" s="230" t="s">
        <v>144</v>
      </c>
      <c r="O22" s="29" t="s">
        <v>144</v>
      </c>
      <c r="P22" s="238" t="s">
        <v>144</v>
      </c>
      <c r="Q22" s="230" t="s">
        <v>144</v>
      </c>
      <c r="R22" s="29" t="s">
        <v>144</v>
      </c>
      <c r="S22" s="233" t="s">
        <v>144</v>
      </c>
      <c r="T22" s="230">
        <v>27.4</v>
      </c>
      <c r="U22" s="4">
        <v>3</v>
      </c>
      <c r="V22" s="85">
        <f t="shared" si="1"/>
        <v>82.199999999999989</v>
      </c>
      <c r="W22" s="244" t="s">
        <v>144</v>
      </c>
    </row>
    <row r="23" spans="2:23" x14ac:dyDescent="0.25">
      <c r="B23" s="114" t="s">
        <v>403</v>
      </c>
      <c r="C23" s="218" t="s">
        <v>427</v>
      </c>
      <c r="D23" s="221"/>
      <c r="E23" s="230" t="s">
        <v>144</v>
      </c>
      <c r="F23" s="29" t="s">
        <v>144</v>
      </c>
      <c r="G23" s="233" t="s">
        <v>144</v>
      </c>
      <c r="H23" s="230" t="s">
        <v>144</v>
      </c>
      <c r="I23" s="29" t="s">
        <v>144</v>
      </c>
      <c r="J23" s="233" t="s">
        <v>144</v>
      </c>
      <c r="K23" s="230">
        <v>11.3</v>
      </c>
      <c r="L23" s="4">
        <v>3</v>
      </c>
      <c r="M23" s="237">
        <f t="shared" si="0"/>
        <v>33.900000000000006</v>
      </c>
      <c r="N23" s="230" t="s">
        <v>144</v>
      </c>
      <c r="O23" s="29" t="s">
        <v>144</v>
      </c>
      <c r="P23" s="238" t="s">
        <v>144</v>
      </c>
      <c r="Q23" s="230" t="s">
        <v>144</v>
      </c>
      <c r="R23" s="29" t="s">
        <v>144</v>
      </c>
      <c r="S23" s="233" t="s">
        <v>144</v>
      </c>
      <c r="T23" s="230">
        <v>27.5</v>
      </c>
      <c r="U23" s="4">
        <v>3</v>
      </c>
      <c r="V23" s="85">
        <f t="shared" si="1"/>
        <v>82.5</v>
      </c>
      <c r="W23" s="244" t="s">
        <v>144</v>
      </c>
    </row>
    <row r="24" spans="2:23" x14ac:dyDescent="0.25">
      <c r="B24" s="114" t="s">
        <v>404</v>
      </c>
      <c r="C24" s="218" t="s">
        <v>427</v>
      </c>
      <c r="D24" s="221"/>
      <c r="E24" s="230" t="s">
        <v>144</v>
      </c>
      <c r="F24" s="29" t="s">
        <v>144</v>
      </c>
      <c r="G24" s="233" t="s">
        <v>144</v>
      </c>
      <c r="H24" s="230" t="s">
        <v>144</v>
      </c>
      <c r="I24" s="29" t="s">
        <v>144</v>
      </c>
      <c r="J24" s="233" t="s">
        <v>144</v>
      </c>
      <c r="K24" s="230">
        <f>6.2+6.2</f>
        <v>12.4</v>
      </c>
      <c r="L24" s="4">
        <v>3</v>
      </c>
      <c r="M24" s="237">
        <f t="shared" si="0"/>
        <v>37.200000000000003</v>
      </c>
      <c r="N24" s="230" t="s">
        <v>144</v>
      </c>
      <c r="O24" s="29" t="s">
        <v>144</v>
      </c>
      <c r="P24" s="238" t="s">
        <v>144</v>
      </c>
      <c r="Q24" s="230" t="s">
        <v>144</v>
      </c>
      <c r="R24" s="29" t="s">
        <v>144</v>
      </c>
      <c r="S24" s="233" t="s">
        <v>144</v>
      </c>
      <c r="T24" s="230">
        <v>27.5</v>
      </c>
      <c r="U24" s="4">
        <v>3</v>
      </c>
      <c r="V24" s="85">
        <f t="shared" si="1"/>
        <v>82.5</v>
      </c>
      <c r="W24" s="244" t="s">
        <v>144</v>
      </c>
    </row>
    <row r="25" spans="2:23" x14ac:dyDescent="0.25">
      <c r="B25" s="114" t="s">
        <v>405</v>
      </c>
      <c r="C25" s="218" t="s">
        <v>427</v>
      </c>
      <c r="D25" s="221"/>
      <c r="E25" s="230" t="s">
        <v>144</v>
      </c>
      <c r="F25" s="29" t="s">
        <v>144</v>
      </c>
      <c r="G25" s="233" t="s">
        <v>144</v>
      </c>
      <c r="H25" s="230" t="s">
        <v>144</v>
      </c>
      <c r="I25" s="29" t="s">
        <v>144</v>
      </c>
      <c r="J25" s="233" t="s">
        <v>144</v>
      </c>
      <c r="K25" s="230">
        <f>5.15+5.15</f>
        <v>10.3</v>
      </c>
      <c r="L25" s="4">
        <v>3</v>
      </c>
      <c r="M25" s="237">
        <f t="shared" si="0"/>
        <v>30.900000000000002</v>
      </c>
      <c r="N25" s="230" t="s">
        <v>144</v>
      </c>
      <c r="O25" s="29" t="s">
        <v>144</v>
      </c>
      <c r="P25" s="238" t="s">
        <v>144</v>
      </c>
      <c r="Q25" s="230" t="s">
        <v>144</v>
      </c>
      <c r="R25" s="29" t="s">
        <v>144</v>
      </c>
      <c r="S25" s="233" t="s">
        <v>144</v>
      </c>
      <c r="T25" s="230">
        <v>25.4</v>
      </c>
      <c r="U25" s="4">
        <v>3</v>
      </c>
      <c r="V25" s="85">
        <f t="shared" si="1"/>
        <v>76.199999999999989</v>
      </c>
      <c r="W25" s="244" t="s">
        <v>144</v>
      </c>
    </row>
    <row r="26" spans="2:23" x14ac:dyDescent="0.25">
      <c r="B26" s="114" t="s">
        <v>406</v>
      </c>
      <c r="C26" s="218" t="s">
        <v>427</v>
      </c>
      <c r="D26" s="221"/>
      <c r="E26" s="230" t="s">
        <v>144</v>
      </c>
      <c r="F26" s="29" t="s">
        <v>144</v>
      </c>
      <c r="G26" s="233" t="s">
        <v>144</v>
      </c>
      <c r="H26" s="230" t="s">
        <v>144</v>
      </c>
      <c r="I26" s="29" t="s">
        <v>144</v>
      </c>
      <c r="J26" s="233" t="s">
        <v>144</v>
      </c>
      <c r="K26" s="230">
        <f>6.15+6.15</f>
        <v>12.3</v>
      </c>
      <c r="L26" s="4">
        <v>3</v>
      </c>
      <c r="M26" s="237">
        <f t="shared" si="0"/>
        <v>36.900000000000006</v>
      </c>
      <c r="N26" s="230" t="s">
        <v>144</v>
      </c>
      <c r="O26" s="29" t="s">
        <v>144</v>
      </c>
      <c r="P26" s="238" t="s">
        <v>144</v>
      </c>
      <c r="Q26" s="230" t="s">
        <v>144</v>
      </c>
      <c r="R26" s="29" t="s">
        <v>144</v>
      </c>
      <c r="S26" s="233" t="s">
        <v>144</v>
      </c>
      <c r="T26" s="230">
        <v>27.4</v>
      </c>
      <c r="U26" s="4">
        <v>3</v>
      </c>
      <c r="V26" s="85">
        <f t="shared" si="1"/>
        <v>82.199999999999989</v>
      </c>
      <c r="W26" s="244" t="s">
        <v>144</v>
      </c>
    </row>
    <row r="27" spans="2:23" x14ac:dyDescent="0.25">
      <c r="B27" s="114" t="s">
        <v>407</v>
      </c>
      <c r="C27" s="218" t="s">
        <v>427</v>
      </c>
      <c r="D27" s="221"/>
      <c r="E27" s="230" t="s">
        <v>144</v>
      </c>
      <c r="F27" s="29" t="s">
        <v>144</v>
      </c>
      <c r="G27" s="233" t="s">
        <v>144</v>
      </c>
      <c r="H27" s="230" t="s">
        <v>144</v>
      </c>
      <c r="I27" s="29" t="s">
        <v>144</v>
      </c>
      <c r="J27" s="233" t="s">
        <v>144</v>
      </c>
      <c r="K27" s="230">
        <f>6.15+6.15+8</f>
        <v>20.3</v>
      </c>
      <c r="L27" s="4">
        <v>3</v>
      </c>
      <c r="M27" s="237">
        <f t="shared" si="0"/>
        <v>60.900000000000006</v>
      </c>
      <c r="N27" s="230" t="s">
        <v>144</v>
      </c>
      <c r="O27" s="29" t="s">
        <v>144</v>
      </c>
      <c r="P27" s="238" t="s">
        <v>144</v>
      </c>
      <c r="Q27" s="230" t="s">
        <v>144</v>
      </c>
      <c r="R27" s="29" t="s">
        <v>144</v>
      </c>
      <c r="S27" s="233" t="s">
        <v>144</v>
      </c>
      <c r="T27" s="230">
        <v>27.4</v>
      </c>
      <c r="U27" s="4">
        <v>3</v>
      </c>
      <c r="V27" s="85">
        <f t="shared" si="1"/>
        <v>82.199999999999989</v>
      </c>
      <c r="W27" s="244" t="s">
        <v>144</v>
      </c>
    </row>
    <row r="28" spans="2:23" ht="30" customHeight="1" x14ac:dyDescent="0.25">
      <c r="B28" s="204" t="s">
        <v>353</v>
      </c>
      <c r="C28" s="218" t="s">
        <v>427</v>
      </c>
      <c r="D28" s="221"/>
      <c r="E28" s="230" t="s">
        <v>144</v>
      </c>
      <c r="F28" s="29" t="s">
        <v>144</v>
      </c>
      <c r="G28" s="233" t="s">
        <v>144</v>
      </c>
      <c r="H28" s="230" t="s">
        <v>144</v>
      </c>
      <c r="I28" s="29" t="s">
        <v>144</v>
      </c>
      <c r="J28" s="233" t="s">
        <v>144</v>
      </c>
      <c r="K28" s="230">
        <v>28.6</v>
      </c>
      <c r="L28" s="4">
        <v>3</v>
      </c>
      <c r="M28" s="237">
        <f t="shared" si="0"/>
        <v>85.800000000000011</v>
      </c>
      <c r="N28" s="230" t="s">
        <v>144</v>
      </c>
      <c r="O28" s="29" t="s">
        <v>144</v>
      </c>
      <c r="P28" s="238" t="s">
        <v>144</v>
      </c>
      <c r="Q28" s="230" t="s">
        <v>144</v>
      </c>
      <c r="R28" s="29" t="s">
        <v>144</v>
      </c>
      <c r="S28" s="233" t="s">
        <v>144</v>
      </c>
      <c r="T28" s="230">
        <v>27.4</v>
      </c>
      <c r="U28" s="4">
        <v>1</v>
      </c>
      <c r="V28" s="85">
        <f t="shared" si="1"/>
        <v>27.4</v>
      </c>
      <c r="W28" s="244" t="s">
        <v>144</v>
      </c>
    </row>
    <row r="29" spans="2:23" x14ac:dyDescent="0.25">
      <c r="B29" s="114" t="s">
        <v>408</v>
      </c>
      <c r="C29" s="218" t="s">
        <v>427</v>
      </c>
      <c r="D29" s="221"/>
      <c r="E29" s="230" t="s">
        <v>144</v>
      </c>
      <c r="F29" s="29" t="s">
        <v>144</v>
      </c>
      <c r="G29" s="233" t="s">
        <v>144</v>
      </c>
      <c r="H29" s="230" t="s">
        <v>144</v>
      </c>
      <c r="I29" s="29" t="s">
        <v>144</v>
      </c>
      <c r="J29" s="233" t="s">
        <v>144</v>
      </c>
      <c r="K29" s="230">
        <v>18.100000000000001</v>
      </c>
      <c r="L29" s="4">
        <v>3</v>
      </c>
      <c r="M29" s="237">
        <f t="shared" si="0"/>
        <v>54.300000000000004</v>
      </c>
      <c r="N29" s="230" t="s">
        <v>144</v>
      </c>
      <c r="O29" s="29" t="s">
        <v>144</v>
      </c>
      <c r="P29" s="238" t="s">
        <v>144</v>
      </c>
      <c r="Q29" s="230" t="s">
        <v>144</v>
      </c>
      <c r="R29" s="29" t="s">
        <v>144</v>
      </c>
      <c r="S29" s="233" t="s">
        <v>144</v>
      </c>
      <c r="T29" s="230">
        <v>16.899999999999999</v>
      </c>
      <c r="U29" s="4">
        <v>3</v>
      </c>
      <c r="V29" s="85">
        <f t="shared" si="1"/>
        <v>50.699999999999996</v>
      </c>
      <c r="W29" s="244" t="s">
        <v>144</v>
      </c>
    </row>
    <row r="30" spans="2:23" ht="36" customHeight="1" x14ac:dyDescent="0.25">
      <c r="B30" s="204" t="s">
        <v>352</v>
      </c>
      <c r="C30" s="218" t="s">
        <v>427</v>
      </c>
      <c r="D30" s="221"/>
      <c r="E30" s="230" t="s">
        <v>144</v>
      </c>
      <c r="F30" s="29" t="s">
        <v>144</v>
      </c>
      <c r="G30" s="233" t="s">
        <v>144</v>
      </c>
      <c r="H30" s="230" t="s">
        <v>144</v>
      </c>
      <c r="I30" s="29" t="s">
        <v>144</v>
      </c>
      <c r="J30" s="233" t="s">
        <v>144</v>
      </c>
      <c r="K30" s="230">
        <v>28.6</v>
      </c>
      <c r="L30" s="4">
        <v>3</v>
      </c>
      <c r="M30" s="237">
        <f t="shared" si="0"/>
        <v>85.800000000000011</v>
      </c>
      <c r="N30" s="230" t="s">
        <v>144</v>
      </c>
      <c r="O30" s="29" t="s">
        <v>144</v>
      </c>
      <c r="P30" s="238" t="s">
        <v>144</v>
      </c>
      <c r="Q30" s="230" t="s">
        <v>144</v>
      </c>
      <c r="R30" s="29" t="s">
        <v>144</v>
      </c>
      <c r="S30" s="233" t="s">
        <v>144</v>
      </c>
      <c r="T30" s="230">
        <v>27.4</v>
      </c>
      <c r="U30" s="4">
        <v>1</v>
      </c>
      <c r="V30" s="85">
        <f t="shared" si="1"/>
        <v>27.4</v>
      </c>
      <c r="W30" s="244" t="s">
        <v>144</v>
      </c>
    </row>
    <row r="31" spans="2:23" x14ac:dyDescent="0.25">
      <c r="B31" s="114" t="s">
        <v>409</v>
      </c>
      <c r="C31" s="218" t="s">
        <v>427</v>
      </c>
      <c r="D31" s="221"/>
      <c r="E31" s="230" t="s">
        <v>144</v>
      </c>
      <c r="F31" s="29" t="s">
        <v>144</v>
      </c>
      <c r="G31" s="233" t="s">
        <v>144</v>
      </c>
      <c r="H31" s="230" t="s">
        <v>144</v>
      </c>
      <c r="I31" s="29" t="s">
        <v>144</v>
      </c>
      <c r="J31" s="233" t="s">
        <v>144</v>
      </c>
      <c r="K31" s="230">
        <v>20.82</v>
      </c>
      <c r="L31" s="4">
        <v>3</v>
      </c>
      <c r="M31" s="237">
        <f t="shared" si="0"/>
        <v>62.46</v>
      </c>
      <c r="N31" s="230" t="s">
        <v>144</v>
      </c>
      <c r="O31" s="29" t="s">
        <v>144</v>
      </c>
      <c r="P31" s="238" t="s">
        <v>144</v>
      </c>
      <c r="Q31" s="230" t="s">
        <v>144</v>
      </c>
      <c r="R31" s="29" t="s">
        <v>144</v>
      </c>
      <c r="S31" s="233" t="s">
        <v>144</v>
      </c>
      <c r="T31" s="230">
        <v>27.2</v>
      </c>
      <c r="U31" s="4">
        <v>3</v>
      </c>
      <c r="V31" s="85">
        <f t="shared" si="1"/>
        <v>81.599999999999994</v>
      </c>
      <c r="W31" s="244" t="s">
        <v>144</v>
      </c>
    </row>
    <row r="32" spans="2:23" x14ac:dyDescent="0.25">
      <c r="B32" s="114" t="s">
        <v>362</v>
      </c>
      <c r="C32" s="218" t="s">
        <v>427</v>
      </c>
      <c r="D32" s="221"/>
      <c r="E32" s="230" t="s">
        <v>144</v>
      </c>
      <c r="F32" s="29" t="s">
        <v>144</v>
      </c>
      <c r="G32" s="233" t="s">
        <v>144</v>
      </c>
      <c r="H32" s="230" t="s">
        <v>144</v>
      </c>
      <c r="I32" s="29" t="s">
        <v>144</v>
      </c>
      <c r="J32" s="233" t="s">
        <v>144</v>
      </c>
      <c r="K32" s="230">
        <v>5.18</v>
      </c>
      <c r="L32" s="4">
        <v>3</v>
      </c>
      <c r="M32" s="237">
        <f t="shared" si="0"/>
        <v>15.54</v>
      </c>
      <c r="N32" s="230" t="s">
        <v>144</v>
      </c>
      <c r="O32" s="29" t="s">
        <v>144</v>
      </c>
      <c r="P32" s="238" t="s">
        <v>144</v>
      </c>
      <c r="Q32" s="230" t="s">
        <v>144</v>
      </c>
      <c r="R32" s="29" t="s">
        <v>144</v>
      </c>
      <c r="S32" s="233" t="s">
        <v>144</v>
      </c>
      <c r="T32" s="230">
        <v>6.65</v>
      </c>
      <c r="U32" s="4">
        <v>1</v>
      </c>
      <c r="V32" s="85">
        <f t="shared" si="1"/>
        <v>6.65</v>
      </c>
      <c r="W32" s="244" t="s">
        <v>144</v>
      </c>
    </row>
    <row r="33" spans="2:23" x14ac:dyDescent="0.25">
      <c r="B33" s="114" t="s">
        <v>362</v>
      </c>
      <c r="C33" s="218" t="s">
        <v>427</v>
      </c>
      <c r="D33" s="221"/>
      <c r="E33" s="230" t="s">
        <v>144</v>
      </c>
      <c r="F33" s="29" t="s">
        <v>144</v>
      </c>
      <c r="G33" s="233" t="s">
        <v>144</v>
      </c>
      <c r="H33" s="230" t="s">
        <v>144</v>
      </c>
      <c r="I33" s="29" t="s">
        <v>144</v>
      </c>
      <c r="J33" s="233" t="s">
        <v>144</v>
      </c>
      <c r="K33" s="230">
        <v>1.5</v>
      </c>
      <c r="L33" s="4">
        <v>3</v>
      </c>
      <c r="M33" s="237">
        <f t="shared" si="0"/>
        <v>4.5</v>
      </c>
      <c r="N33" s="230" t="s">
        <v>144</v>
      </c>
      <c r="O33" s="29" t="s">
        <v>144</v>
      </c>
      <c r="P33" s="238" t="s">
        <v>144</v>
      </c>
      <c r="Q33" s="230" t="s">
        <v>144</v>
      </c>
      <c r="R33" s="29" t="s">
        <v>144</v>
      </c>
      <c r="S33" s="233" t="s">
        <v>144</v>
      </c>
      <c r="T33" s="230">
        <v>6.35</v>
      </c>
      <c r="U33" s="4">
        <v>1</v>
      </c>
      <c r="V33" s="85">
        <f t="shared" si="1"/>
        <v>6.35</v>
      </c>
      <c r="W33" s="244" t="s">
        <v>144</v>
      </c>
    </row>
    <row r="34" spans="2:23" x14ac:dyDescent="0.25">
      <c r="B34" s="114" t="s">
        <v>410</v>
      </c>
      <c r="C34" s="218" t="s">
        <v>427</v>
      </c>
      <c r="D34" s="221"/>
      <c r="E34" s="230" t="s">
        <v>144</v>
      </c>
      <c r="F34" s="29" t="s">
        <v>144</v>
      </c>
      <c r="G34" s="233" t="s">
        <v>144</v>
      </c>
      <c r="H34" s="230" t="s">
        <v>144</v>
      </c>
      <c r="I34" s="29" t="s">
        <v>144</v>
      </c>
      <c r="J34" s="233" t="s">
        <v>144</v>
      </c>
      <c r="K34" s="230">
        <v>4.43</v>
      </c>
      <c r="L34" s="4">
        <v>3</v>
      </c>
      <c r="M34" s="237">
        <f t="shared" si="0"/>
        <v>13.29</v>
      </c>
      <c r="N34" s="230" t="s">
        <v>144</v>
      </c>
      <c r="O34" s="29" t="s">
        <v>144</v>
      </c>
      <c r="P34" s="238" t="s">
        <v>144</v>
      </c>
      <c r="Q34" s="230" t="s">
        <v>144</v>
      </c>
      <c r="R34" s="29" t="s">
        <v>144</v>
      </c>
      <c r="S34" s="233" t="s">
        <v>144</v>
      </c>
      <c r="T34" s="230">
        <v>8.1</v>
      </c>
      <c r="U34" s="4">
        <v>1</v>
      </c>
      <c r="V34" s="85">
        <f t="shared" si="1"/>
        <v>8.1</v>
      </c>
      <c r="W34" s="244" t="s">
        <v>144</v>
      </c>
    </row>
    <row r="35" spans="2:23" x14ac:dyDescent="0.25">
      <c r="B35" s="114" t="s">
        <v>411</v>
      </c>
      <c r="C35" s="218" t="s">
        <v>427</v>
      </c>
      <c r="D35" s="221"/>
      <c r="E35" s="230" t="s">
        <v>144</v>
      </c>
      <c r="F35" s="29" t="s">
        <v>144</v>
      </c>
      <c r="G35" s="233" t="s">
        <v>144</v>
      </c>
      <c r="H35" s="230" t="s">
        <v>144</v>
      </c>
      <c r="I35" s="29" t="s">
        <v>144</v>
      </c>
      <c r="J35" s="233" t="s">
        <v>144</v>
      </c>
      <c r="K35" s="230">
        <f>4.05+4.05</f>
        <v>8.1</v>
      </c>
      <c r="L35" s="4">
        <v>3</v>
      </c>
      <c r="M35" s="237">
        <f t="shared" si="0"/>
        <v>24.299999999999997</v>
      </c>
      <c r="N35" s="230" t="s">
        <v>144</v>
      </c>
      <c r="O35" s="29" t="s">
        <v>144</v>
      </c>
      <c r="P35" s="238" t="s">
        <v>144</v>
      </c>
      <c r="Q35" s="230" t="s">
        <v>144</v>
      </c>
      <c r="R35" s="29" t="s">
        <v>144</v>
      </c>
      <c r="S35" s="233" t="s">
        <v>144</v>
      </c>
      <c r="T35" s="230">
        <v>18.100000000000001</v>
      </c>
      <c r="U35" s="4">
        <v>3</v>
      </c>
      <c r="V35" s="85">
        <f t="shared" si="1"/>
        <v>54.300000000000004</v>
      </c>
      <c r="W35" s="244" t="s">
        <v>144</v>
      </c>
    </row>
    <row r="36" spans="2:23" x14ac:dyDescent="0.25">
      <c r="B36" s="114" t="s">
        <v>412</v>
      </c>
      <c r="C36" s="218" t="s">
        <v>427</v>
      </c>
      <c r="D36" s="221"/>
      <c r="E36" s="230" t="s">
        <v>144</v>
      </c>
      <c r="F36" s="29" t="s">
        <v>144</v>
      </c>
      <c r="G36" s="233" t="s">
        <v>144</v>
      </c>
      <c r="H36" s="230" t="s">
        <v>144</v>
      </c>
      <c r="I36" s="29" t="s">
        <v>144</v>
      </c>
      <c r="J36" s="233" t="s">
        <v>144</v>
      </c>
      <c r="K36" s="230">
        <v>2.15</v>
      </c>
      <c r="L36" s="4">
        <v>3</v>
      </c>
      <c r="M36" s="237">
        <f t="shared" si="0"/>
        <v>6.4499999999999993</v>
      </c>
      <c r="N36" s="230" t="s">
        <v>144</v>
      </c>
      <c r="O36" s="29" t="s">
        <v>144</v>
      </c>
      <c r="P36" s="238" t="s">
        <v>144</v>
      </c>
      <c r="Q36" s="230" t="s">
        <v>144</v>
      </c>
      <c r="R36" s="29" t="s">
        <v>144</v>
      </c>
      <c r="S36" s="233" t="s">
        <v>144</v>
      </c>
      <c r="T36" s="230">
        <v>11.7</v>
      </c>
      <c r="U36" s="4">
        <v>3</v>
      </c>
      <c r="V36" s="85">
        <f t="shared" si="1"/>
        <v>35.099999999999994</v>
      </c>
      <c r="W36" s="244" t="s">
        <v>144</v>
      </c>
    </row>
    <row r="37" spans="2:23" x14ac:dyDescent="0.25">
      <c r="B37" s="114" t="s">
        <v>410</v>
      </c>
      <c r="C37" s="218" t="s">
        <v>427</v>
      </c>
      <c r="D37" s="221"/>
      <c r="E37" s="230" t="s">
        <v>144</v>
      </c>
      <c r="F37" s="29" t="s">
        <v>144</v>
      </c>
      <c r="G37" s="233" t="s">
        <v>144</v>
      </c>
      <c r="H37" s="230" t="s">
        <v>144</v>
      </c>
      <c r="I37" s="29" t="s">
        <v>144</v>
      </c>
      <c r="J37" s="233" t="s">
        <v>144</v>
      </c>
      <c r="K37" s="230">
        <v>2.15</v>
      </c>
      <c r="L37" s="4">
        <v>3</v>
      </c>
      <c r="M37" s="237">
        <f t="shared" si="0"/>
        <v>6.4499999999999993</v>
      </c>
      <c r="N37" s="230" t="s">
        <v>144</v>
      </c>
      <c r="O37" s="29" t="s">
        <v>144</v>
      </c>
      <c r="P37" s="238" t="s">
        <v>144</v>
      </c>
      <c r="Q37" s="230" t="s">
        <v>144</v>
      </c>
      <c r="R37" s="29" t="s">
        <v>144</v>
      </c>
      <c r="S37" s="233" t="s">
        <v>144</v>
      </c>
      <c r="T37" s="230">
        <v>8.3000000000000007</v>
      </c>
      <c r="U37" s="4">
        <v>1</v>
      </c>
      <c r="V37" s="85">
        <f t="shared" si="1"/>
        <v>8.3000000000000007</v>
      </c>
      <c r="W37" s="244" t="s">
        <v>144</v>
      </c>
    </row>
    <row r="38" spans="2:23" ht="33.75" customHeight="1" x14ac:dyDescent="0.25">
      <c r="B38" s="204" t="s">
        <v>413</v>
      </c>
      <c r="C38" s="218" t="s">
        <v>427</v>
      </c>
      <c r="D38" s="221"/>
      <c r="E38" s="230" t="s">
        <v>144</v>
      </c>
      <c r="F38" s="29" t="s">
        <v>144</v>
      </c>
      <c r="G38" s="233" t="s">
        <v>144</v>
      </c>
      <c r="H38" s="230" t="s">
        <v>144</v>
      </c>
      <c r="I38" s="29" t="s">
        <v>144</v>
      </c>
      <c r="J38" s="233" t="s">
        <v>144</v>
      </c>
      <c r="K38" s="230">
        <f>3.7+3.7+5.45</f>
        <v>12.850000000000001</v>
      </c>
      <c r="L38" s="4">
        <v>3</v>
      </c>
      <c r="M38" s="237">
        <f t="shared" si="0"/>
        <v>38.550000000000004</v>
      </c>
      <c r="N38" s="230" t="s">
        <v>144</v>
      </c>
      <c r="O38" s="29" t="s">
        <v>144</v>
      </c>
      <c r="P38" s="238" t="s">
        <v>144</v>
      </c>
      <c r="Q38" s="230" t="s">
        <v>144</v>
      </c>
      <c r="R38" s="29" t="s">
        <v>144</v>
      </c>
      <c r="S38" s="233" t="s">
        <v>144</v>
      </c>
      <c r="T38" s="230">
        <v>17.100000000000001</v>
      </c>
      <c r="U38" s="4">
        <v>3</v>
      </c>
      <c r="V38" s="85">
        <f t="shared" si="1"/>
        <v>51.300000000000004</v>
      </c>
      <c r="W38" s="244" t="s">
        <v>144</v>
      </c>
    </row>
    <row r="39" spans="2:23" x14ac:dyDescent="0.25">
      <c r="B39" s="114" t="s">
        <v>368</v>
      </c>
      <c r="C39" s="218" t="s">
        <v>427</v>
      </c>
      <c r="D39" s="221"/>
      <c r="E39" s="230" t="s">
        <v>144</v>
      </c>
      <c r="F39" s="29" t="s">
        <v>144</v>
      </c>
      <c r="G39" s="233" t="s">
        <v>144</v>
      </c>
      <c r="H39" s="230" t="s">
        <v>144</v>
      </c>
      <c r="I39" s="29" t="s">
        <v>144</v>
      </c>
      <c r="J39" s="233" t="s">
        <v>144</v>
      </c>
      <c r="K39" s="230">
        <f>5.15+5.15+8</f>
        <v>18.3</v>
      </c>
      <c r="L39" s="4">
        <v>3</v>
      </c>
      <c r="M39" s="237">
        <f t="shared" si="0"/>
        <v>54.900000000000006</v>
      </c>
      <c r="N39" s="230" t="s">
        <v>144</v>
      </c>
      <c r="O39" s="29" t="s">
        <v>144</v>
      </c>
      <c r="P39" s="238" t="s">
        <v>144</v>
      </c>
      <c r="Q39" s="230" t="s">
        <v>144</v>
      </c>
      <c r="R39" s="29" t="s">
        <v>144</v>
      </c>
      <c r="S39" s="233" t="s">
        <v>144</v>
      </c>
      <c r="T39" s="230">
        <v>25.1</v>
      </c>
      <c r="U39" s="4">
        <v>3</v>
      </c>
      <c r="V39" s="85">
        <f t="shared" si="1"/>
        <v>75.300000000000011</v>
      </c>
      <c r="W39" s="244" t="s">
        <v>144</v>
      </c>
    </row>
    <row r="40" spans="2:23" ht="31.5" customHeight="1" x14ac:dyDescent="0.25">
      <c r="B40" s="204" t="s">
        <v>367</v>
      </c>
      <c r="C40" s="218" t="s">
        <v>427</v>
      </c>
      <c r="D40" s="221"/>
      <c r="E40" s="230" t="s">
        <v>144</v>
      </c>
      <c r="F40" s="29" t="s">
        <v>144</v>
      </c>
      <c r="G40" s="233" t="s">
        <v>144</v>
      </c>
      <c r="H40" s="230" t="s">
        <v>144</v>
      </c>
      <c r="I40" s="29" t="s">
        <v>144</v>
      </c>
      <c r="J40" s="233" t="s">
        <v>144</v>
      </c>
      <c r="K40" s="230">
        <f>8.15+8.15</f>
        <v>16.3</v>
      </c>
      <c r="L40" s="4">
        <v>3</v>
      </c>
      <c r="M40" s="237">
        <f t="shared" si="0"/>
        <v>48.900000000000006</v>
      </c>
      <c r="N40" s="230" t="s">
        <v>144</v>
      </c>
      <c r="O40" s="29" t="s">
        <v>144</v>
      </c>
      <c r="P40" s="238" t="s">
        <v>144</v>
      </c>
      <c r="Q40" s="230" t="s">
        <v>144</v>
      </c>
      <c r="R40" s="29" t="s">
        <v>144</v>
      </c>
      <c r="S40" s="233" t="s">
        <v>144</v>
      </c>
      <c r="T40" s="230">
        <v>31.4</v>
      </c>
      <c r="U40" s="4">
        <v>3</v>
      </c>
      <c r="V40" s="85">
        <f t="shared" si="1"/>
        <v>94.199999999999989</v>
      </c>
      <c r="W40" s="244" t="s">
        <v>144</v>
      </c>
    </row>
    <row r="41" spans="2:23" ht="35.25" customHeight="1" x14ac:dyDescent="0.25">
      <c r="B41" s="204" t="s">
        <v>428</v>
      </c>
      <c r="C41" s="218" t="s">
        <v>427</v>
      </c>
      <c r="D41" s="221"/>
      <c r="E41" s="230" t="s">
        <v>144</v>
      </c>
      <c r="F41" s="29" t="s">
        <v>144</v>
      </c>
      <c r="G41" s="233" t="s">
        <v>144</v>
      </c>
      <c r="H41" s="230" t="s">
        <v>144</v>
      </c>
      <c r="I41" s="29" t="s">
        <v>144</v>
      </c>
      <c r="J41" s="233" t="s">
        <v>144</v>
      </c>
      <c r="K41" s="230">
        <f>8+5.8+5.8</f>
        <v>19.600000000000001</v>
      </c>
      <c r="L41" s="4">
        <v>3</v>
      </c>
      <c r="M41" s="237">
        <f t="shared" si="0"/>
        <v>58.800000000000004</v>
      </c>
      <c r="N41" s="230" t="s">
        <v>144</v>
      </c>
      <c r="O41" s="29" t="s">
        <v>144</v>
      </c>
      <c r="P41" s="238" t="s">
        <v>144</v>
      </c>
      <c r="Q41" s="230" t="s">
        <v>144</v>
      </c>
      <c r="R41" s="29" t="s">
        <v>144</v>
      </c>
      <c r="S41" s="233" t="s">
        <v>144</v>
      </c>
      <c r="T41" s="230">
        <v>26</v>
      </c>
      <c r="U41" s="4">
        <v>3</v>
      </c>
      <c r="V41" s="85">
        <f t="shared" si="1"/>
        <v>78</v>
      </c>
      <c r="W41" s="244" t="s">
        <v>144</v>
      </c>
    </row>
    <row r="42" spans="2:23" x14ac:dyDescent="0.25">
      <c r="B42" s="114" t="s">
        <v>414</v>
      </c>
      <c r="C42" s="218" t="s">
        <v>427</v>
      </c>
      <c r="D42" s="221"/>
      <c r="E42" s="230" t="s">
        <v>144</v>
      </c>
      <c r="F42" s="29" t="s">
        <v>144</v>
      </c>
      <c r="G42" s="233" t="s">
        <v>144</v>
      </c>
      <c r="H42" s="230" t="s">
        <v>144</v>
      </c>
      <c r="I42" s="29" t="s">
        <v>144</v>
      </c>
      <c r="J42" s="233" t="s">
        <v>144</v>
      </c>
      <c r="K42" s="230">
        <f>10.3+10.3+8</f>
        <v>28.6</v>
      </c>
      <c r="L42" s="4">
        <v>3</v>
      </c>
      <c r="M42" s="237">
        <f t="shared" si="0"/>
        <v>85.800000000000011</v>
      </c>
      <c r="N42" s="230" t="s">
        <v>144</v>
      </c>
      <c r="O42" s="29" t="s">
        <v>144</v>
      </c>
      <c r="P42" s="238" t="s">
        <v>144</v>
      </c>
      <c r="Q42" s="230" t="s">
        <v>144</v>
      </c>
      <c r="R42" s="29" t="s">
        <v>144</v>
      </c>
      <c r="S42" s="233" t="s">
        <v>144</v>
      </c>
      <c r="T42" s="230">
        <v>35.4</v>
      </c>
      <c r="U42" s="4">
        <v>3</v>
      </c>
      <c r="V42" s="85">
        <f t="shared" si="1"/>
        <v>106.19999999999999</v>
      </c>
      <c r="W42" s="244" t="s">
        <v>144</v>
      </c>
    </row>
    <row r="43" spans="2:23" ht="31.5" customHeight="1" x14ac:dyDescent="0.25">
      <c r="B43" s="204" t="s">
        <v>415</v>
      </c>
      <c r="C43" s="173" t="s">
        <v>427</v>
      </c>
      <c r="D43" s="222"/>
      <c r="E43" s="230" t="s">
        <v>144</v>
      </c>
      <c r="F43" s="29" t="s">
        <v>144</v>
      </c>
      <c r="G43" s="233" t="s">
        <v>144</v>
      </c>
      <c r="H43" s="230" t="s">
        <v>144</v>
      </c>
      <c r="I43" s="29" t="s">
        <v>144</v>
      </c>
      <c r="J43" s="233" t="s">
        <v>144</v>
      </c>
      <c r="K43" s="230">
        <f>62*(0.15+0.3)</f>
        <v>27.9</v>
      </c>
      <c r="L43" s="4">
        <v>3</v>
      </c>
      <c r="M43" s="237">
        <f>(K43*L43)</f>
        <v>83.699999999999989</v>
      </c>
      <c r="N43" s="230" t="s">
        <v>144</v>
      </c>
      <c r="O43" s="29" t="s">
        <v>144</v>
      </c>
      <c r="P43" s="238" t="s">
        <v>144</v>
      </c>
      <c r="Q43" s="230" t="s">
        <v>144</v>
      </c>
      <c r="R43" s="29" t="s">
        <v>144</v>
      </c>
      <c r="S43" s="233" t="s">
        <v>144</v>
      </c>
      <c r="T43" s="230">
        <f>62*(0.15+0.3)</f>
        <v>27.9</v>
      </c>
      <c r="U43" s="4">
        <v>3</v>
      </c>
      <c r="V43" s="85">
        <f t="shared" si="1"/>
        <v>83.699999999999989</v>
      </c>
      <c r="W43" s="244" t="s">
        <v>144</v>
      </c>
    </row>
    <row r="44" spans="2:23" x14ac:dyDescent="0.25">
      <c r="B44" s="114" t="s">
        <v>416</v>
      </c>
      <c r="C44" s="218" t="s">
        <v>427</v>
      </c>
      <c r="D44" s="221"/>
      <c r="E44" s="230" t="s">
        <v>144</v>
      </c>
      <c r="F44" s="29" t="s">
        <v>144</v>
      </c>
      <c r="G44" s="233" t="s">
        <v>144</v>
      </c>
      <c r="H44" s="230" t="s">
        <v>144</v>
      </c>
      <c r="I44" s="29" t="s">
        <v>144</v>
      </c>
      <c r="J44" s="233" t="s">
        <v>144</v>
      </c>
      <c r="K44" s="230">
        <v>38</v>
      </c>
      <c r="L44" s="4">
        <v>3</v>
      </c>
      <c r="M44" s="237">
        <f t="shared" si="0"/>
        <v>114</v>
      </c>
      <c r="N44" s="230" t="s">
        <v>144</v>
      </c>
      <c r="O44" s="29" t="s">
        <v>144</v>
      </c>
      <c r="P44" s="238" t="s">
        <v>144</v>
      </c>
      <c r="Q44" s="230" t="s">
        <v>144</v>
      </c>
      <c r="R44" s="29" t="s">
        <v>144</v>
      </c>
      <c r="S44" s="233" t="s">
        <v>144</v>
      </c>
      <c r="T44" s="230">
        <v>44.76</v>
      </c>
      <c r="U44" s="4">
        <v>3</v>
      </c>
      <c r="V44" s="85">
        <f t="shared" si="1"/>
        <v>134.28</v>
      </c>
      <c r="W44" s="244" t="s">
        <v>144</v>
      </c>
    </row>
    <row r="45" spans="2:23" x14ac:dyDescent="0.25">
      <c r="B45" s="114" t="s">
        <v>408</v>
      </c>
      <c r="C45" s="218" t="s">
        <v>427</v>
      </c>
      <c r="D45" s="221"/>
      <c r="E45" s="230" t="s">
        <v>144</v>
      </c>
      <c r="F45" s="29" t="s">
        <v>144</v>
      </c>
      <c r="G45" s="233" t="s">
        <v>144</v>
      </c>
      <c r="H45" s="230" t="s">
        <v>144</v>
      </c>
      <c r="I45" s="29" t="s">
        <v>144</v>
      </c>
      <c r="J45" s="233" t="s">
        <v>144</v>
      </c>
      <c r="K45" s="230">
        <f>2.55+2.55+1.3</f>
        <v>6.3999999999999995</v>
      </c>
      <c r="L45" s="4">
        <v>3</v>
      </c>
      <c r="M45" s="237">
        <f t="shared" si="0"/>
        <v>19.2</v>
      </c>
      <c r="N45" s="230" t="s">
        <v>144</v>
      </c>
      <c r="O45" s="29" t="s">
        <v>144</v>
      </c>
      <c r="P45" s="238" t="s">
        <v>144</v>
      </c>
      <c r="Q45" s="230" t="s">
        <v>144</v>
      </c>
      <c r="R45" s="29" t="s">
        <v>144</v>
      </c>
      <c r="S45" s="233" t="s">
        <v>144</v>
      </c>
      <c r="T45" s="230">
        <v>19.399999999999999</v>
      </c>
      <c r="U45" s="4">
        <v>3</v>
      </c>
      <c r="V45" s="85">
        <f t="shared" si="1"/>
        <v>58.199999999999996</v>
      </c>
      <c r="W45" s="244" t="s">
        <v>144</v>
      </c>
    </row>
    <row r="46" spans="2:23" x14ac:dyDescent="0.25">
      <c r="B46" s="114" t="s">
        <v>417</v>
      </c>
      <c r="C46" s="218" t="s">
        <v>427</v>
      </c>
      <c r="D46" s="221"/>
      <c r="E46" s="230" t="s">
        <v>144</v>
      </c>
      <c r="F46" s="29" t="s">
        <v>144</v>
      </c>
      <c r="G46" s="233" t="s">
        <v>144</v>
      </c>
      <c r="H46" s="230" t="s">
        <v>144</v>
      </c>
      <c r="I46" s="29" t="s">
        <v>144</v>
      </c>
      <c r="J46" s="233" t="s">
        <v>144</v>
      </c>
      <c r="K46" s="230">
        <f>9.05+4.65</f>
        <v>13.700000000000001</v>
      </c>
      <c r="L46" s="4">
        <v>3</v>
      </c>
      <c r="M46" s="237">
        <f t="shared" si="0"/>
        <v>41.1</v>
      </c>
      <c r="N46" s="230" t="s">
        <v>144</v>
      </c>
      <c r="O46" s="29" t="s">
        <v>144</v>
      </c>
      <c r="P46" s="238" t="s">
        <v>144</v>
      </c>
      <c r="Q46" s="230" t="s">
        <v>144</v>
      </c>
      <c r="R46" s="29" t="s">
        <v>144</v>
      </c>
      <c r="S46" s="233" t="s">
        <v>144</v>
      </c>
      <c r="T46" s="230">
        <v>27</v>
      </c>
      <c r="U46" s="4">
        <v>1</v>
      </c>
      <c r="V46" s="85">
        <f t="shared" si="1"/>
        <v>27</v>
      </c>
      <c r="W46" s="244" t="s">
        <v>144</v>
      </c>
    </row>
    <row r="47" spans="2:23" x14ac:dyDescent="0.25">
      <c r="B47" s="114" t="s">
        <v>418</v>
      </c>
      <c r="C47" s="218" t="s">
        <v>427</v>
      </c>
      <c r="D47" s="221"/>
      <c r="E47" s="230" t="s">
        <v>144</v>
      </c>
      <c r="F47" s="29" t="s">
        <v>144</v>
      </c>
      <c r="G47" s="233" t="s">
        <v>144</v>
      </c>
      <c r="H47" s="230" t="s">
        <v>144</v>
      </c>
      <c r="I47" s="29" t="s">
        <v>144</v>
      </c>
      <c r="J47" s="233" t="s">
        <v>144</v>
      </c>
      <c r="K47" s="230">
        <v>1.55</v>
      </c>
      <c r="L47" s="4">
        <v>3</v>
      </c>
      <c r="M47" s="237">
        <f t="shared" si="0"/>
        <v>4.6500000000000004</v>
      </c>
      <c r="N47" s="230" t="s">
        <v>144</v>
      </c>
      <c r="O47" s="29" t="s">
        <v>144</v>
      </c>
      <c r="P47" s="238" t="s">
        <v>144</v>
      </c>
      <c r="Q47" s="230" t="s">
        <v>144</v>
      </c>
      <c r="R47" s="29" t="s">
        <v>144</v>
      </c>
      <c r="S47" s="233" t="s">
        <v>144</v>
      </c>
      <c r="T47" s="230">
        <v>7.6</v>
      </c>
      <c r="U47" s="4">
        <v>3</v>
      </c>
      <c r="V47" s="85">
        <f t="shared" si="1"/>
        <v>22.799999999999997</v>
      </c>
      <c r="W47" s="244" t="s">
        <v>144</v>
      </c>
    </row>
    <row r="48" spans="2:23" x14ac:dyDescent="0.25">
      <c r="B48" s="114" t="s">
        <v>419</v>
      </c>
      <c r="C48" s="218" t="s">
        <v>427</v>
      </c>
      <c r="D48" s="221"/>
      <c r="E48" s="230" t="s">
        <v>144</v>
      </c>
      <c r="F48" s="29" t="s">
        <v>144</v>
      </c>
      <c r="G48" s="233" t="s">
        <v>144</v>
      </c>
      <c r="H48" s="230" t="s">
        <v>144</v>
      </c>
      <c r="I48" s="29" t="s">
        <v>144</v>
      </c>
      <c r="J48" s="233" t="s">
        <v>144</v>
      </c>
      <c r="K48" s="230">
        <v>1.55</v>
      </c>
      <c r="L48" s="4">
        <v>3</v>
      </c>
      <c r="M48" s="237">
        <f t="shared" si="0"/>
        <v>4.6500000000000004</v>
      </c>
      <c r="N48" s="230" t="s">
        <v>144</v>
      </c>
      <c r="O48" s="29" t="s">
        <v>144</v>
      </c>
      <c r="P48" s="238" t="s">
        <v>144</v>
      </c>
      <c r="Q48" s="230" t="s">
        <v>144</v>
      </c>
      <c r="R48" s="29" t="s">
        <v>144</v>
      </c>
      <c r="S48" s="233" t="s">
        <v>144</v>
      </c>
      <c r="T48" s="230">
        <v>7.2</v>
      </c>
      <c r="U48" s="4">
        <v>3</v>
      </c>
      <c r="V48" s="85">
        <f t="shared" si="1"/>
        <v>21.6</v>
      </c>
      <c r="W48" s="244" t="s">
        <v>144</v>
      </c>
    </row>
    <row r="49" spans="1:23" x14ac:dyDescent="0.25">
      <c r="B49" s="114" t="s">
        <v>420</v>
      </c>
      <c r="C49" s="218" t="s">
        <v>427</v>
      </c>
      <c r="D49" s="221"/>
      <c r="E49" s="230" t="s">
        <v>144</v>
      </c>
      <c r="F49" s="29" t="s">
        <v>144</v>
      </c>
      <c r="G49" s="233" t="s">
        <v>144</v>
      </c>
      <c r="H49" s="230" t="s">
        <v>144</v>
      </c>
      <c r="I49" s="29" t="s">
        <v>144</v>
      </c>
      <c r="J49" s="233" t="s">
        <v>144</v>
      </c>
      <c r="K49" s="230">
        <v>4.57</v>
      </c>
      <c r="L49" s="4">
        <v>3</v>
      </c>
      <c r="M49" s="237">
        <f t="shared" si="0"/>
        <v>13.71</v>
      </c>
      <c r="N49" s="230" t="s">
        <v>144</v>
      </c>
      <c r="O49" s="29" t="s">
        <v>144</v>
      </c>
      <c r="P49" s="238" t="s">
        <v>144</v>
      </c>
      <c r="Q49" s="230" t="s">
        <v>144</v>
      </c>
      <c r="R49" s="29" t="s">
        <v>144</v>
      </c>
      <c r="S49" s="233" t="s">
        <v>144</v>
      </c>
      <c r="T49" s="230">
        <v>8.24</v>
      </c>
      <c r="U49" s="4">
        <v>3</v>
      </c>
      <c r="V49" s="85">
        <f t="shared" si="1"/>
        <v>24.72</v>
      </c>
      <c r="W49" s="244" t="s">
        <v>144</v>
      </c>
    </row>
    <row r="50" spans="1:23" x14ac:dyDescent="0.25">
      <c r="B50" s="114" t="s">
        <v>410</v>
      </c>
      <c r="C50" s="218" t="s">
        <v>427</v>
      </c>
      <c r="D50" s="221"/>
      <c r="E50" s="230" t="s">
        <v>144</v>
      </c>
      <c r="F50" s="29" t="s">
        <v>144</v>
      </c>
      <c r="G50" s="233" t="s">
        <v>144</v>
      </c>
      <c r="H50" s="230" t="s">
        <v>144</v>
      </c>
      <c r="I50" s="29" t="s">
        <v>144</v>
      </c>
      <c r="J50" s="233" t="s">
        <v>144</v>
      </c>
      <c r="K50" s="230">
        <f>4.15+1.77</f>
        <v>5.92</v>
      </c>
      <c r="L50" s="4">
        <v>3</v>
      </c>
      <c r="M50" s="237">
        <f t="shared" si="0"/>
        <v>17.759999999999998</v>
      </c>
      <c r="N50" s="230" t="s">
        <v>144</v>
      </c>
      <c r="O50" s="29" t="s">
        <v>144</v>
      </c>
      <c r="P50" s="238" t="s">
        <v>144</v>
      </c>
      <c r="Q50" s="230" t="s">
        <v>144</v>
      </c>
      <c r="R50" s="29" t="s">
        <v>144</v>
      </c>
      <c r="S50" s="233" t="s">
        <v>144</v>
      </c>
      <c r="T50" s="230">
        <v>8.64</v>
      </c>
      <c r="U50" s="4">
        <v>1</v>
      </c>
      <c r="V50" s="85">
        <f t="shared" si="1"/>
        <v>8.64</v>
      </c>
      <c r="W50" s="244" t="s">
        <v>144</v>
      </c>
    </row>
    <row r="51" spans="1:23" x14ac:dyDescent="0.25">
      <c r="B51" s="114" t="s">
        <v>224</v>
      </c>
      <c r="C51" s="218" t="s">
        <v>427</v>
      </c>
      <c r="D51" s="221" t="s">
        <v>427</v>
      </c>
      <c r="E51" s="230">
        <v>20.97</v>
      </c>
      <c r="F51" s="29">
        <v>1</v>
      </c>
      <c r="G51" s="233">
        <f>E51*F51</f>
        <v>20.97</v>
      </c>
      <c r="H51" s="230">
        <v>20.97</v>
      </c>
      <c r="I51" s="29">
        <v>1</v>
      </c>
      <c r="J51" s="233">
        <f>H51*I51</f>
        <v>20.97</v>
      </c>
      <c r="K51" s="230">
        <v>549.41999999999996</v>
      </c>
      <c r="L51" s="29">
        <v>1</v>
      </c>
      <c r="M51" s="238">
        <f>K51*L51</f>
        <v>549.41999999999996</v>
      </c>
      <c r="N51" s="230">
        <v>20.97</v>
      </c>
      <c r="O51" s="29">
        <v>1</v>
      </c>
      <c r="P51" s="238">
        <f>N51*O51</f>
        <v>20.97</v>
      </c>
      <c r="Q51" s="230">
        <v>20.97</v>
      </c>
      <c r="R51" s="29">
        <v>1</v>
      </c>
      <c r="S51" s="238">
        <f>Q51*R51</f>
        <v>20.97</v>
      </c>
      <c r="T51" s="230">
        <v>549.41999999999996</v>
      </c>
      <c r="U51" s="29">
        <v>1</v>
      </c>
      <c r="V51" s="233">
        <f>T51*U51</f>
        <v>549.41999999999996</v>
      </c>
      <c r="W51" s="244"/>
    </row>
    <row r="52" spans="1:23" x14ac:dyDescent="0.25">
      <c r="B52" s="114" t="s">
        <v>421</v>
      </c>
      <c r="C52" s="218"/>
      <c r="D52" s="221" t="s">
        <v>427</v>
      </c>
      <c r="E52" s="230">
        <v>15</v>
      </c>
      <c r="F52" s="4">
        <v>3</v>
      </c>
      <c r="G52" s="85">
        <f>(E52*F52)</f>
        <v>45</v>
      </c>
      <c r="H52" s="230">
        <v>15</v>
      </c>
      <c r="I52" s="4">
        <v>3</v>
      </c>
      <c r="J52" s="85">
        <f>(H52*I52)</f>
        <v>45</v>
      </c>
      <c r="K52" s="230">
        <v>15</v>
      </c>
      <c r="L52" s="4">
        <v>3</v>
      </c>
      <c r="M52" s="237">
        <f t="shared" si="0"/>
        <v>45</v>
      </c>
      <c r="N52" s="230">
        <v>17.21</v>
      </c>
      <c r="O52" s="29">
        <v>3</v>
      </c>
      <c r="P52" s="238">
        <f t="shared" ref="P52:P54" si="2">(N52*O52)</f>
        <v>51.63</v>
      </c>
      <c r="Q52" s="230">
        <v>8.6999999999999993</v>
      </c>
      <c r="R52" s="29">
        <v>3</v>
      </c>
      <c r="S52" s="233">
        <f t="shared" ref="S52:S54" si="3">(Q52*R52)</f>
        <v>26.099999999999998</v>
      </c>
      <c r="T52" s="230">
        <v>17.21</v>
      </c>
      <c r="U52" s="4">
        <v>1</v>
      </c>
      <c r="V52" s="85">
        <f t="shared" si="1"/>
        <v>17.21</v>
      </c>
      <c r="W52" s="244" t="s">
        <v>144</v>
      </c>
    </row>
    <row r="53" spans="1:23" x14ac:dyDescent="0.25">
      <c r="B53" s="114" t="s">
        <v>422</v>
      </c>
      <c r="C53" s="218"/>
      <c r="D53" s="221" t="s">
        <v>427</v>
      </c>
      <c r="E53" s="230">
        <v>15</v>
      </c>
      <c r="F53" s="4">
        <v>3</v>
      </c>
      <c r="G53" s="85">
        <f t="shared" ref="G53:G54" si="4">(E53*F53)</f>
        <v>45</v>
      </c>
      <c r="H53" s="230">
        <v>15</v>
      </c>
      <c r="I53" s="4">
        <v>3</v>
      </c>
      <c r="J53" s="85">
        <f t="shared" ref="J53:J54" si="5">(H53*I53)</f>
        <v>45</v>
      </c>
      <c r="K53" s="230">
        <v>15</v>
      </c>
      <c r="L53" s="4">
        <v>3</v>
      </c>
      <c r="M53" s="237">
        <f t="shared" si="0"/>
        <v>45</v>
      </c>
      <c r="N53" s="230">
        <v>17.21</v>
      </c>
      <c r="O53" s="29">
        <v>3</v>
      </c>
      <c r="P53" s="238">
        <f t="shared" si="2"/>
        <v>51.63</v>
      </c>
      <c r="Q53" s="230">
        <v>8.6999999999999993</v>
      </c>
      <c r="R53" s="29">
        <v>3</v>
      </c>
      <c r="S53" s="233">
        <f t="shared" si="3"/>
        <v>26.099999999999998</v>
      </c>
      <c r="T53" s="230">
        <v>17.21</v>
      </c>
      <c r="U53" s="4">
        <v>1</v>
      </c>
      <c r="V53" s="85">
        <f t="shared" si="1"/>
        <v>17.21</v>
      </c>
      <c r="W53" s="244" t="s">
        <v>144</v>
      </c>
    </row>
    <row r="54" spans="1:23" x14ac:dyDescent="0.25">
      <c r="B54" s="114" t="s">
        <v>362</v>
      </c>
      <c r="C54" s="218"/>
      <c r="D54" s="221" t="s">
        <v>427</v>
      </c>
      <c r="E54" s="230">
        <v>2.5499999999999998</v>
      </c>
      <c r="F54" s="4">
        <v>3</v>
      </c>
      <c r="G54" s="85">
        <f t="shared" si="4"/>
        <v>7.6499999999999995</v>
      </c>
      <c r="H54" s="230">
        <v>2.5499999999999998</v>
      </c>
      <c r="I54" s="4">
        <v>3</v>
      </c>
      <c r="J54" s="85">
        <f t="shared" si="5"/>
        <v>7.6499999999999995</v>
      </c>
      <c r="K54" s="230">
        <v>2.5499999999999998</v>
      </c>
      <c r="L54" s="4">
        <v>3</v>
      </c>
      <c r="M54" s="237">
        <f t="shared" si="0"/>
        <v>7.6499999999999995</v>
      </c>
      <c r="N54" s="230">
        <v>8.49</v>
      </c>
      <c r="O54" s="29">
        <v>3</v>
      </c>
      <c r="P54" s="238">
        <f t="shared" si="2"/>
        <v>25.47</v>
      </c>
      <c r="Q54" s="230">
        <v>3</v>
      </c>
      <c r="R54" s="29">
        <v>3</v>
      </c>
      <c r="S54" s="233">
        <f t="shared" si="3"/>
        <v>9</v>
      </c>
      <c r="T54" s="230">
        <v>8.49</v>
      </c>
      <c r="U54" s="4">
        <v>1</v>
      </c>
      <c r="V54" s="85">
        <f t="shared" si="1"/>
        <v>8.49</v>
      </c>
      <c r="W54" s="244" t="s">
        <v>144</v>
      </c>
    </row>
    <row r="55" spans="1:23" x14ac:dyDescent="0.25">
      <c r="B55" s="114" t="s">
        <v>423</v>
      </c>
      <c r="C55" s="218" t="s">
        <v>427</v>
      </c>
      <c r="D55" s="221"/>
      <c r="E55" s="230" t="s">
        <v>144</v>
      </c>
      <c r="F55" s="4" t="s">
        <v>144</v>
      </c>
      <c r="G55" s="85" t="s">
        <v>144</v>
      </c>
      <c r="H55" s="230" t="s">
        <v>144</v>
      </c>
      <c r="I55" s="4" t="s">
        <v>144</v>
      </c>
      <c r="J55" s="85" t="s">
        <v>144</v>
      </c>
      <c r="K55" s="234" t="s">
        <v>144</v>
      </c>
      <c r="L55" s="4" t="s">
        <v>144</v>
      </c>
      <c r="M55" s="237" t="s">
        <v>144</v>
      </c>
      <c r="N55" s="230" t="s">
        <v>144</v>
      </c>
      <c r="O55" s="29" t="s">
        <v>144</v>
      </c>
      <c r="P55" s="238" t="s">
        <v>144</v>
      </c>
      <c r="Q55" s="230" t="s">
        <v>144</v>
      </c>
      <c r="R55" s="29" t="s">
        <v>144</v>
      </c>
      <c r="S55" s="233" t="s">
        <v>144</v>
      </c>
      <c r="T55" s="214" t="s">
        <v>144</v>
      </c>
      <c r="U55" s="4" t="s">
        <v>144</v>
      </c>
      <c r="V55" s="85" t="s">
        <v>144</v>
      </c>
      <c r="W55" s="244">
        <v>20.96</v>
      </c>
    </row>
    <row r="56" spans="1:23" x14ac:dyDescent="0.25">
      <c r="B56" s="163" t="s">
        <v>429</v>
      </c>
      <c r="C56" s="224" t="s">
        <v>427</v>
      </c>
      <c r="D56" s="225"/>
      <c r="E56" s="214" t="s">
        <v>144</v>
      </c>
      <c r="F56" s="4" t="s">
        <v>144</v>
      </c>
      <c r="G56" s="85" t="s">
        <v>144</v>
      </c>
      <c r="H56" s="214" t="s">
        <v>144</v>
      </c>
      <c r="I56" s="4" t="s">
        <v>144</v>
      </c>
      <c r="J56" s="85" t="s">
        <v>144</v>
      </c>
      <c r="K56" s="209" t="s">
        <v>144</v>
      </c>
      <c r="L56" s="4" t="s">
        <v>144</v>
      </c>
      <c r="M56" s="237" t="s">
        <v>144</v>
      </c>
      <c r="N56" s="230" t="s">
        <v>144</v>
      </c>
      <c r="O56" s="29" t="s">
        <v>144</v>
      </c>
      <c r="P56" s="238" t="s">
        <v>144</v>
      </c>
      <c r="Q56" s="230" t="s">
        <v>144</v>
      </c>
      <c r="R56" s="29" t="s">
        <v>144</v>
      </c>
      <c r="S56" s="233" t="s">
        <v>144</v>
      </c>
      <c r="T56" s="214" t="s">
        <v>144</v>
      </c>
      <c r="U56" s="4" t="s">
        <v>144</v>
      </c>
      <c r="V56" s="85" t="s">
        <v>144</v>
      </c>
      <c r="W56" s="244">
        <f>16.48+5.27+5.28+5.8+8.97+6.87+6.89</f>
        <v>55.559999999999995</v>
      </c>
    </row>
    <row r="57" spans="1:23" ht="15.75" thickBot="1" x14ac:dyDescent="0.3">
      <c r="B57" s="115" t="s">
        <v>290</v>
      </c>
      <c r="C57" s="219" t="s">
        <v>427</v>
      </c>
      <c r="D57" s="223"/>
      <c r="E57" s="215" t="s">
        <v>144</v>
      </c>
      <c r="F57" s="213" t="s">
        <v>144</v>
      </c>
      <c r="G57" s="87" t="s">
        <v>144</v>
      </c>
      <c r="H57" s="215" t="s">
        <v>144</v>
      </c>
      <c r="I57" s="213" t="s">
        <v>144</v>
      </c>
      <c r="J57" s="87" t="s">
        <v>144</v>
      </c>
      <c r="K57" s="227" t="s">
        <v>144</v>
      </c>
      <c r="L57" s="213" t="s">
        <v>144</v>
      </c>
      <c r="M57" s="239" t="s">
        <v>144</v>
      </c>
      <c r="N57" s="240" t="s">
        <v>144</v>
      </c>
      <c r="O57" s="235" t="s">
        <v>144</v>
      </c>
      <c r="P57" s="242" t="s">
        <v>144</v>
      </c>
      <c r="Q57" s="240" t="s">
        <v>144</v>
      </c>
      <c r="R57" s="235" t="s">
        <v>144</v>
      </c>
      <c r="S57" s="236" t="s">
        <v>144</v>
      </c>
      <c r="T57" s="215" t="s">
        <v>144</v>
      </c>
      <c r="U57" s="213" t="s">
        <v>144</v>
      </c>
      <c r="V57" s="87" t="s">
        <v>144</v>
      </c>
      <c r="W57" s="245">
        <v>1603.96</v>
      </c>
    </row>
    <row r="58" spans="1:23" ht="34.5" customHeight="1" thickBot="1" x14ac:dyDescent="0.3">
      <c r="B58" s="711" t="s">
        <v>225</v>
      </c>
      <c r="C58" s="712"/>
      <c r="D58" s="713"/>
      <c r="E58" s="688">
        <f>SUM(G13:G57)</f>
        <v>118.62</v>
      </c>
      <c r="F58" s="689"/>
      <c r="G58" s="690"/>
      <c r="H58" s="688">
        <f>SUM(J13:J57)</f>
        <v>118.62</v>
      </c>
      <c r="I58" s="689"/>
      <c r="J58" s="690"/>
      <c r="K58" s="688">
        <f>SUM(M13:M57)</f>
        <v>2281.5300000000002</v>
      </c>
      <c r="L58" s="689"/>
      <c r="M58" s="690"/>
      <c r="N58" s="688">
        <f>SUM(P13:P57)</f>
        <v>149.69999999999999</v>
      </c>
      <c r="O58" s="689"/>
      <c r="P58" s="690"/>
      <c r="Q58" s="688">
        <f>SUM(S13:S57)</f>
        <v>82.169999999999987</v>
      </c>
      <c r="R58" s="689"/>
      <c r="S58" s="690"/>
      <c r="T58" s="688">
        <f>SUM(V13:V57)</f>
        <v>2899.1699999999996</v>
      </c>
      <c r="U58" s="689"/>
      <c r="V58" s="690"/>
      <c r="W58" s="228">
        <f>SUM(W13:W57)</f>
        <v>1680.48</v>
      </c>
    </row>
    <row r="59" spans="1:23" ht="15.75" thickBot="1" x14ac:dyDescent="0.3">
      <c r="A59" s="125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M59" s="200"/>
      <c r="N59" s="200"/>
      <c r="O59" s="200"/>
      <c r="W59" s="93"/>
    </row>
    <row r="60" spans="1:23" x14ac:dyDescent="0.25">
      <c r="A60" s="125"/>
      <c r="B60" s="714" t="s">
        <v>433</v>
      </c>
      <c r="C60" s="715"/>
      <c r="D60" s="715"/>
      <c r="E60" s="715"/>
      <c r="F60" s="715"/>
      <c r="G60" s="354">
        <f>H58+Q58</f>
        <v>200.79</v>
      </c>
      <c r="H60" s="132"/>
      <c r="I60" s="132"/>
      <c r="J60" s="132"/>
      <c r="K60" s="132"/>
      <c r="M60" s="132"/>
      <c r="N60" s="132"/>
      <c r="O60" s="132"/>
    </row>
    <row r="61" spans="1:23" x14ac:dyDescent="0.25">
      <c r="A61" s="125"/>
      <c r="B61" s="716" t="s">
        <v>434</v>
      </c>
      <c r="C61" s="717"/>
      <c r="D61" s="717"/>
      <c r="E61" s="717"/>
      <c r="F61" s="717"/>
      <c r="G61" s="355">
        <f>E58</f>
        <v>118.62</v>
      </c>
      <c r="H61" s="123"/>
      <c r="I61" s="123"/>
      <c r="J61" s="123"/>
      <c r="K61" s="123"/>
      <c r="M61" s="123"/>
      <c r="N61" s="123"/>
      <c r="O61" s="123"/>
    </row>
    <row r="62" spans="1:23" x14ac:dyDescent="0.25">
      <c r="A62" s="125"/>
      <c r="B62" s="716" t="s">
        <v>435</v>
      </c>
      <c r="C62" s="717"/>
      <c r="D62" s="717"/>
      <c r="E62" s="717"/>
      <c r="F62" s="717"/>
      <c r="G62" s="355">
        <f>N58</f>
        <v>149.69999999999999</v>
      </c>
      <c r="H62" s="125"/>
      <c r="I62" s="127"/>
      <c r="J62" s="127"/>
      <c r="K62" s="127"/>
      <c r="M62" s="127"/>
      <c r="N62" s="127"/>
      <c r="O62" s="127"/>
    </row>
    <row r="63" spans="1:23" x14ac:dyDescent="0.25">
      <c r="A63" s="125"/>
      <c r="B63" s="716" t="s">
        <v>436</v>
      </c>
      <c r="C63" s="717"/>
      <c r="D63" s="717"/>
      <c r="E63" s="717"/>
      <c r="F63" s="717"/>
      <c r="G63" s="355">
        <f>K58+T58</f>
        <v>5180.7</v>
      </c>
      <c r="H63" s="125"/>
      <c r="I63" s="127"/>
      <c r="J63" s="127"/>
      <c r="K63" s="127"/>
      <c r="M63" s="127"/>
      <c r="N63" s="127"/>
      <c r="O63" s="127"/>
    </row>
    <row r="64" spans="1:23" x14ac:dyDescent="0.25">
      <c r="A64" s="125"/>
      <c r="B64" s="716" t="s">
        <v>437</v>
      </c>
      <c r="C64" s="717"/>
      <c r="D64" s="717"/>
      <c r="E64" s="717"/>
      <c r="F64" s="717"/>
      <c r="G64" s="355">
        <f>W58</f>
        <v>1680.48</v>
      </c>
      <c r="H64" s="125"/>
      <c r="I64" s="127"/>
      <c r="J64" s="127"/>
      <c r="K64" s="127"/>
      <c r="M64" s="127"/>
      <c r="N64" s="127"/>
      <c r="O64" s="127"/>
    </row>
    <row r="65" spans="1:15" ht="15.75" thickBot="1" x14ac:dyDescent="0.3">
      <c r="A65" s="125"/>
      <c r="B65" s="683" t="s">
        <v>438</v>
      </c>
      <c r="C65" s="684"/>
      <c r="D65" s="684"/>
      <c r="E65" s="684"/>
      <c r="F65" s="684"/>
      <c r="G65" s="356">
        <f>M13+M14+M15+M16+M17+M18+M19+M20+M21+M22+M23+M24+M25+M26+M27+M28+M29+M30+M31+M32+M33+M34+M35+M36+M37+M38+M39+M40+M41+M42+M43+M44+M45+M46+M47+M48+M49+M50+V50+V49+V48+V47+V46+V45+V44+V43+V42+V41+V40+V39+V38+V37+V36+V35+V34+V32+V33+V31+V30+V29+V28+V27+V26+V25+V24+V23+V22+V21+V20+V18+V19+V17+V16+V15+V14+V13</f>
        <v>3941.2999999999988</v>
      </c>
      <c r="H65" s="125"/>
      <c r="I65" s="127"/>
      <c r="J65" s="127"/>
      <c r="K65" s="127"/>
      <c r="M65" s="127"/>
      <c r="N65" s="127"/>
      <c r="O65" s="127"/>
    </row>
    <row r="66" spans="1:15" x14ac:dyDescent="0.25">
      <c r="A66" s="125"/>
      <c r="B66" s="125"/>
      <c r="C66" s="125"/>
      <c r="D66" s="125"/>
      <c r="E66" s="127"/>
      <c r="F66" s="127"/>
      <c r="G66" s="127"/>
      <c r="H66" s="125"/>
      <c r="I66" s="127"/>
      <c r="J66" s="127"/>
      <c r="K66" s="127"/>
      <c r="M66" s="127"/>
      <c r="N66" s="127"/>
      <c r="O66" s="127"/>
    </row>
    <row r="67" spans="1:15" x14ac:dyDescent="0.25">
      <c r="A67" s="125"/>
      <c r="B67" s="125"/>
      <c r="C67" s="125"/>
      <c r="D67" s="125"/>
      <c r="E67" s="127"/>
      <c r="F67" s="127"/>
      <c r="G67" s="127"/>
      <c r="H67" s="125"/>
      <c r="I67" s="127"/>
      <c r="J67" s="127"/>
      <c r="K67" s="127"/>
      <c r="M67" s="127"/>
      <c r="N67" s="127"/>
      <c r="O67" s="127"/>
    </row>
    <row r="68" spans="1:15" x14ac:dyDescent="0.25">
      <c r="A68" s="125"/>
      <c r="B68" s="125"/>
      <c r="C68" s="125"/>
      <c r="D68" s="125"/>
      <c r="E68" s="127"/>
      <c r="F68" s="127"/>
      <c r="G68" s="127"/>
      <c r="H68" s="125"/>
      <c r="I68" s="127"/>
      <c r="J68" s="127"/>
      <c r="K68" s="127"/>
      <c r="M68" s="127"/>
      <c r="N68" s="127"/>
      <c r="O68" s="127"/>
    </row>
    <row r="69" spans="1:15" x14ac:dyDescent="0.25">
      <c r="A69" s="125"/>
      <c r="B69" s="125"/>
      <c r="C69" s="125"/>
      <c r="D69" s="125"/>
      <c r="E69" s="127"/>
      <c r="F69" s="127"/>
      <c r="G69" s="127"/>
      <c r="H69" s="125"/>
      <c r="I69" s="127"/>
      <c r="J69" s="127"/>
      <c r="K69" s="127"/>
      <c r="M69" s="127"/>
      <c r="N69" s="127"/>
      <c r="O69" s="127"/>
    </row>
    <row r="70" spans="1:15" x14ac:dyDescent="0.25">
      <c r="A70" s="125"/>
      <c r="B70" s="125"/>
      <c r="C70" s="125"/>
      <c r="D70" s="125"/>
      <c r="E70" s="127"/>
      <c r="F70" s="127"/>
      <c r="G70" s="127"/>
      <c r="H70" s="125"/>
      <c r="I70" s="127"/>
      <c r="J70" s="127"/>
      <c r="K70" s="127"/>
      <c r="M70" s="127"/>
      <c r="N70" s="127"/>
      <c r="O70" s="127"/>
    </row>
    <row r="71" spans="1:15" x14ac:dyDescent="0.25">
      <c r="A71" s="125"/>
      <c r="B71" s="125"/>
      <c r="C71" s="125"/>
      <c r="D71" s="125"/>
      <c r="E71" s="127"/>
      <c r="F71" s="127"/>
      <c r="G71" s="127"/>
      <c r="H71" s="125"/>
      <c r="I71" s="127"/>
      <c r="J71" s="127"/>
      <c r="K71" s="127"/>
      <c r="M71" s="127"/>
      <c r="N71" s="127"/>
      <c r="O71" s="127"/>
    </row>
    <row r="72" spans="1:15" x14ac:dyDescent="0.25">
      <c r="A72" s="125"/>
      <c r="B72" s="199"/>
      <c r="C72" s="199"/>
      <c r="D72" s="199"/>
      <c r="E72" s="128"/>
      <c r="F72" s="128"/>
      <c r="G72" s="128"/>
      <c r="H72" s="199"/>
      <c r="I72" s="128"/>
      <c r="J72" s="128"/>
      <c r="K72" s="128"/>
      <c r="M72" s="128"/>
      <c r="N72" s="128"/>
      <c r="O72" s="128"/>
    </row>
    <row r="73" spans="1:15" x14ac:dyDescent="0.25">
      <c r="A73" s="125"/>
      <c r="B73" s="200"/>
      <c r="C73" s="200"/>
      <c r="D73" s="200"/>
      <c r="E73" s="139"/>
      <c r="F73" s="200"/>
      <c r="G73" s="200"/>
      <c r="H73" s="200"/>
      <c r="I73" s="200"/>
      <c r="J73" s="200"/>
      <c r="K73" s="200"/>
      <c r="M73" s="200"/>
      <c r="N73" s="200"/>
      <c r="O73" s="200"/>
    </row>
    <row r="74" spans="1:15" x14ac:dyDescent="0.25">
      <c r="A74" s="125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M74" s="132"/>
      <c r="N74" s="132"/>
      <c r="O74" s="132"/>
    </row>
    <row r="75" spans="1:15" x14ac:dyDescent="0.25">
      <c r="A75" s="125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M75" s="123"/>
      <c r="N75" s="123"/>
      <c r="O75" s="123"/>
    </row>
    <row r="76" spans="1:15" x14ac:dyDescent="0.25">
      <c r="A76" s="125"/>
      <c r="B76" s="125"/>
      <c r="C76" s="125"/>
      <c r="D76" s="125"/>
      <c r="E76" s="127"/>
      <c r="F76" s="127"/>
      <c r="G76" s="127"/>
      <c r="H76" s="125"/>
      <c r="I76" s="127"/>
      <c r="J76" s="127"/>
      <c r="K76" s="127"/>
      <c r="M76" s="127"/>
      <c r="N76" s="127"/>
      <c r="O76" s="127"/>
    </row>
    <row r="77" spans="1:15" x14ac:dyDescent="0.25">
      <c r="A77" s="125"/>
      <c r="B77" s="125"/>
      <c r="C77" s="125"/>
      <c r="D77" s="125"/>
      <c r="E77" s="127"/>
      <c r="F77" s="127"/>
      <c r="G77" s="127"/>
      <c r="H77" s="125"/>
      <c r="I77" s="127"/>
      <c r="J77" s="127"/>
      <c r="K77" s="127"/>
      <c r="M77" s="127"/>
      <c r="N77" s="127"/>
      <c r="O77" s="127"/>
    </row>
    <row r="78" spans="1:15" x14ac:dyDescent="0.25">
      <c r="A78" s="125"/>
      <c r="B78" s="125"/>
      <c r="C78" s="125"/>
      <c r="D78" s="125"/>
      <c r="E78" s="127"/>
      <c r="F78" s="127"/>
      <c r="G78" s="127"/>
      <c r="H78" s="125"/>
      <c r="I78" s="127"/>
      <c r="J78" s="127"/>
      <c r="K78" s="127"/>
      <c r="M78" s="127"/>
      <c r="N78" s="127"/>
      <c r="O78" s="127"/>
    </row>
    <row r="79" spans="1:15" x14ac:dyDescent="0.25">
      <c r="A79" s="125"/>
      <c r="B79" s="125"/>
      <c r="C79" s="125"/>
      <c r="D79" s="125"/>
      <c r="E79" s="127"/>
      <c r="F79" s="127"/>
      <c r="G79" s="127"/>
      <c r="H79" s="125"/>
      <c r="I79" s="127"/>
      <c r="J79" s="127"/>
      <c r="K79" s="127"/>
      <c r="M79" s="127"/>
      <c r="N79" s="127"/>
      <c r="O79" s="127"/>
    </row>
    <row r="80" spans="1:15" x14ac:dyDescent="0.25">
      <c r="A80" s="125"/>
      <c r="B80" s="125"/>
      <c r="C80" s="125"/>
      <c r="D80" s="125"/>
      <c r="E80" s="127"/>
      <c r="F80" s="127"/>
      <c r="G80" s="127"/>
      <c r="H80" s="125"/>
      <c r="I80" s="127"/>
      <c r="J80" s="127"/>
      <c r="K80" s="127"/>
      <c r="M80" s="127"/>
      <c r="N80" s="127"/>
      <c r="O80" s="127"/>
    </row>
    <row r="81" spans="1:15" x14ac:dyDescent="0.25">
      <c r="A81" s="125"/>
      <c r="B81" s="125"/>
      <c r="C81" s="125"/>
      <c r="D81" s="125"/>
      <c r="E81" s="127"/>
      <c r="F81" s="127"/>
      <c r="G81" s="127"/>
      <c r="H81" s="125"/>
      <c r="I81" s="127"/>
      <c r="J81" s="127"/>
      <c r="K81" s="127"/>
      <c r="M81" s="127"/>
      <c r="N81" s="127"/>
      <c r="O81" s="127"/>
    </row>
    <row r="82" spans="1:15" x14ac:dyDescent="0.25">
      <c r="A82" s="125"/>
      <c r="B82" s="125"/>
      <c r="C82" s="125"/>
      <c r="D82" s="125"/>
      <c r="E82" s="127"/>
      <c r="F82" s="127"/>
      <c r="G82" s="127"/>
      <c r="H82" s="125"/>
      <c r="I82" s="127"/>
      <c r="J82" s="127"/>
      <c r="K82" s="127"/>
      <c r="M82" s="127"/>
      <c r="N82" s="127"/>
      <c r="O82" s="127"/>
    </row>
    <row r="83" spans="1:15" x14ac:dyDescent="0.25">
      <c r="A83" s="125"/>
      <c r="B83" s="125"/>
      <c r="C83" s="125"/>
      <c r="D83" s="125"/>
      <c r="E83" s="127"/>
      <c r="F83" s="127"/>
      <c r="G83" s="127"/>
      <c r="H83" s="125"/>
      <c r="I83" s="127"/>
      <c r="J83" s="127"/>
      <c r="K83" s="127"/>
      <c r="M83" s="127"/>
      <c r="N83" s="127"/>
      <c r="O83" s="127"/>
    </row>
    <row r="84" spans="1:15" x14ac:dyDescent="0.25">
      <c r="A84" s="125"/>
      <c r="B84" s="125"/>
      <c r="C84" s="125"/>
      <c r="D84" s="125"/>
      <c r="E84" s="127"/>
      <c r="F84" s="127"/>
      <c r="G84" s="127"/>
      <c r="H84" s="125"/>
      <c r="I84" s="127"/>
      <c r="J84" s="127"/>
      <c r="K84" s="127"/>
      <c r="M84" s="127"/>
      <c r="N84" s="127"/>
      <c r="O84" s="127"/>
    </row>
    <row r="85" spans="1:15" x14ac:dyDescent="0.25">
      <c r="A85" s="125"/>
      <c r="B85" s="125"/>
      <c r="C85" s="125"/>
      <c r="D85" s="125"/>
      <c r="E85" s="127"/>
      <c r="F85" s="127"/>
      <c r="G85" s="127"/>
      <c r="H85" s="125"/>
      <c r="I85" s="127"/>
      <c r="J85" s="127"/>
      <c r="K85" s="127"/>
      <c r="M85" s="127"/>
      <c r="N85" s="127"/>
      <c r="O85" s="127"/>
    </row>
    <row r="86" spans="1:15" x14ac:dyDescent="0.25">
      <c r="A86" s="125"/>
      <c r="B86" s="199"/>
      <c r="C86" s="199"/>
      <c r="D86" s="199"/>
      <c r="E86" s="128"/>
      <c r="F86" s="128"/>
      <c r="G86" s="128"/>
      <c r="H86" s="199"/>
      <c r="I86" s="128"/>
      <c r="J86" s="128"/>
      <c r="K86" s="128"/>
      <c r="M86" s="128"/>
      <c r="N86" s="128"/>
      <c r="O86" s="128"/>
    </row>
    <row r="87" spans="1:15" ht="48" customHeight="1" x14ac:dyDescent="0.25">
      <c r="A87" s="125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M87" s="201"/>
      <c r="N87" s="201"/>
      <c r="O87" s="201"/>
    </row>
    <row r="88" spans="1:15" x14ac:dyDescent="0.25">
      <c r="A88" s="125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M88" s="132"/>
      <c r="N88" s="132"/>
      <c r="O88" s="132"/>
    </row>
    <row r="89" spans="1:15" x14ac:dyDescent="0.25">
      <c r="A89" s="125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M89" s="200"/>
      <c r="N89" s="200"/>
      <c r="O89" s="200"/>
    </row>
    <row r="90" spans="1:15" x14ac:dyDescent="0.25">
      <c r="A90" s="125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M90" s="132"/>
      <c r="N90" s="132"/>
      <c r="O90" s="132"/>
    </row>
    <row r="91" spans="1:15" x14ac:dyDescent="0.25">
      <c r="A91" s="125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M91" s="123"/>
      <c r="N91" s="123"/>
      <c r="O91" s="123"/>
    </row>
    <row r="92" spans="1:15" x14ac:dyDescent="0.25">
      <c r="A92" s="125"/>
      <c r="B92" s="125"/>
      <c r="C92" s="125"/>
      <c r="D92" s="125"/>
      <c r="E92" s="127"/>
      <c r="F92" s="127"/>
      <c r="G92" s="127"/>
      <c r="H92" s="125"/>
      <c r="I92" s="127"/>
      <c r="J92" s="127"/>
      <c r="K92" s="127"/>
      <c r="M92" s="127"/>
      <c r="N92" s="127"/>
      <c r="O92" s="127"/>
    </row>
    <row r="93" spans="1:15" x14ac:dyDescent="0.25">
      <c r="A93" s="125"/>
      <c r="B93" s="125"/>
      <c r="C93" s="125"/>
      <c r="D93" s="125"/>
      <c r="E93" s="127"/>
      <c r="F93" s="127"/>
      <c r="G93" s="127"/>
      <c r="H93" s="125"/>
      <c r="I93" s="127"/>
      <c r="J93" s="127"/>
      <c r="K93" s="127"/>
      <c r="M93" s="127"/>
      <c r="N93" s="127"/>
      <c r="O93" s="127"/>
    </row>
    <row r="94" spans="1:15" x14ac:dyDescent="0.25">
      <c r="A94" s="125"/>
      <c r="B94" s="125"/>
      <c r="C94" s="125"/>
      <c r="D94" s="125"/>
      <c r="E94" s="127"/>
      <c r="F94" s="127"/>
      <c r="G94" s="127"/>
      <c r="H94" s="125"/>
      <c r="I94" s="127"/>
      <c r="J94" s="127"/>
      <c r="K94" s="127"/>
      <c r="M94" s="127"/>
      <c r="N94" s="127"/>
      <c r="O94" s="127"/>
    </row>
    <row r="95" spans="1:15" x14ac:dyDescent="0.25">
      <c r="A95" s="125"/>
      <c r="B95" s="125"/>
      <c r="C95" s="125"/>
      <c r="D95" s="125"/>
      <c r="E95" s="127"/>
      <c r="F95" s="127"/>
      <c r="G95" s="127"/>
      <c r="H95" s="125"/>
      <c r="I95" s="127"/>
      <c r="J95" s="127"/>
      <c r="K95" s="127"/>
      <c r="M95" s="127"/>
      <c r="N95" s="127"/>
      <c r="O95" s="127"/>
    </row>
    <row r="96" spans="1:15" x14ac:dyDescent="0.25">
      <c r="A96" s="125"/>
      <c r="B96" s="125"/>
      <c r="C96" s="125"/>
      <c r="D96" s="125"/>
      <c r="E96" s="127"/>
      <c r="F96" s="127"/>
      <c r="G96" s="127"/>
      <c r="H96" s="125"/>
      <c r="I96" s="127"/>
      <c r="J96" s="127"/>
      <c r="K96" s="127"/>
      <c r="M96" s="127"/>
      <c r="N96" s="127"/>
      <c r="O96" s="127"/>
    </row>
    <row r="97" spans="1:15" x14ac:dyDescent="0.25">
      <c r="A97" s="125"/>
      <c r="B97" s="125"/>
      <c r="C97" s="125"/>
      <c r="D97" s="125"/>
      <c r="E97" s="127"/>
      <c r="F97" s="127"/>
      <c r="G97" s="127"/>
      <c r="H97" s="125"/>
      <c r="I97" s="127"/>
      <c r="J97" s="127"/>
      <c r="K97" s="127"/>
      <c r="M97" s="127"/>
      <c r="N97" s="127"/>
      <c r="O97" s="127"/>
    </row>
    <row r="98" spans="1:15" x14ac:dyDescent="0.25">
      <c r="A98" s="125"/>
      <c r="B98" s="125"/>
      <c r="C98" s="125"/>
      <c r="D98" s="125"/>
      <c r="E98" s="127"/>
      <c r="F98" s="127"/>
      <c r="G98" s="127"/>
      <c r="H98" s="125"/>
      <c r="I98" s="127"/>
      <c r="J98" s="127"/>
      <c r="K98" s="127"/>
      <c r="M98" s="127"/>
      <c r="N98" s="127"/>
      <c r="O98" s="127"/>
    </row>
    <row r="99" spans="1:15" x14ac:dyDescent="0.25">
      <c r="A99" s="125"/>
      <c r="B99" s="125"/>
      <c r="C99" s="125"/>
      <c r="D99" s="125"/>
      <c r="E99" s="127"/>
      <c r="F99" s="127"/>
      <c r="G99" s="127"/>
      <c r="H99" s="125"/>
      <c r="I99" s="127"/>
      <c r="J99" s="127"/>
      <c r="K99" s="127"/>
      <c r="M99" s="127"/>
      <c r="N99" s="127"/>
      <c r="O99" s="127"/>
    </row>
    <row r="100" spans="1:15" x14ac:dyDescent="0.25">
      <c r="A100" s="125"/>
      <c r="B100" s="125"/>
      <c r="C100" s="125"/>
      <c r="D100" s="125"/>
      <c r="E100" s="127"/>
      <c r="F100" s="127"/>
      <c r="G100" s="127"/>
      <c r="H100" s="125"/>
      <c r="I100" s="127"/>
      <c r="J100" s="127"/>
      <c r="K100" s="127"/>
      <c r="M100" s="127"/>
      <c r="N100" s="127"/>
      <c r="O100" s="127"/>
    </row>
    <row r="101" spans="1:15" x14ac:dyDescent="0.25">
      <c r="A101" s="125"/>
      <c r="B101" s="125"/>
      <c r="C101" s="125"/>
      <c r="D101" s="125"/>
      <c r="E101" s="127"/>
      <c r="F101" s="127"/>
      <c r="G101" s="127"/>
      <c r="H101" s="125"/>
      <c r="I101" s="127"/>
      <c r="J101" s="127"/>
      <c r="K101" s="127"/>
      <c r="M101" s="127"/>
      <c r="N101" s="127"/>
      <c r="O101" s="127"/>
    </row>
    <row r="102" spans="1:15" x14ac:dyDescent="0.25">
      <c r="A102" s="125"/>
      <c r="B102" s="199"/>
      <c r="C102" s="199"/>
      <c r="D102" s="199"/>
      <c r="E102" s="128"/>
      <c r="F102" s="128"/>
      <c r="G102" s="128"/>
      <c r="H102" s="199"/>
      <c r="I102" s="128"/>
      <c r="J102" s="128"/>
      <c r="K102" s="128"/>
      <c r="M102" s="128"/>
      <c r="N102" s="128"/>
      <c r="O102" s="128"/>
    </row>
    <row r="103" spans="1:15" x14ac:dyDescent="0.25">
      <c r="A103" s="125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M103" s="200"/>
      <c r="N103" s="200"/>
      <c r="O103" s="200"/>
    </row>
    <row r="104" spans="1:15" x14ac:dyDescent="0.25">
      <c r="A104" s="125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M104" s="132"/>
      <c r="N104" s="132"/>
      <c r="O104" s="132"/>
    </row>
    <row r="105" spans="1:15" x14ac:dyDescent="0.25">
      <c r="A105" s="125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M105" s="123"/>
      <c r="N105" s="123"/>
      <c r="O105" s="123"/>
    </row>
    <row r="106" spans="1:15" x14ac:dyDescent="0.25">
      <c r="A106" s="125"/>
      <c r="B106" s="125"/>
      <c r="C106" s="125"/>
      <c r="D106" s="125"/>
      <c r="E106" s="127"/>
      <c r="F106" s="127"/>
      <c r="G106" s="127"/>
      <c r="H106" s="125"/>
      <c r="I106" s="127"/>
      <c r="J106" s="127"/>
      <c r="K106" s="127"/>
      <c r="M106" s="127"/>
      <c r="N106" s="127"/>
      <c r="O106" s="127"/>
    </row>
    <row r="107" spans="1:15" x14ac:dyDescent="0.25">
      <c r="A107" s="125"/>
      <c r="B107" s="125"/>
      <c r="C107" s="125"/>
      <c r="D107" s="125"/>
      <c r="E107" s="127"/>
      <c r="F107" s="127"/>
      <c r="G107" s="127"/>
      <c r="H107" s="125"/>
      <c r="I107" s="127"/>
      <c r="J107" s="127"/>
      <c r="K107" s="127"/>
      <c r="M107" s="127"/>
      <c r="N107" s="127"/>
      <c r="O107" s="127"/>
    </row>
    <row r="108" spans="1:15" x14ac:dyDescent="0.25">
      <c r="A108" s="125"/>
      <c r="B108" s="125"/>
      <c r="C108" s="125"/>
      <c r="D108" s="125"/>
      <c r="E108" s="127"/>
      <c r="F108" s="127"/>
      <c r="G108" s="127"/>
      <c r="H108" s="125"/>
      <c r="I108" s="127"/>
      <c r="J108" s="127"/>
      <c r="K108" s="127"/>
      <c r="M108" s="127"/>
      <c r="N108" s="127"/>
      <c r="O108" s="127"/>
    </row>
    <row r="109" spans="1:15" x14ac:dyDescent="0.25">
      <c r="A109" s="125"/>
      <c r="B109" s="125"/>
      <c r="C109" s="125"/>
      <c r="D109" s="125"/>
      <c r="E109" s="127"/>
      <c r="F109" s="127"/>
      <c r="G109" s="127"/>
      <c r="H109" s="125"/>
      <c r="I109" s="127"/>
      <c r="J109" s="127"/>
      <c r="K109" s="127"/>
      <c r="M109" s="127"/>
      <c r="N109" s="127"/>
      <c r="O109" s="127"/>
    </row>
    <row r="110" spans="1:15" x14ac:dyDescent="0.25">
      <c r="A110" s="125"/>
      <c r="B110" s="125"/>
      <c r="C110" s="125"/>
      <c r="D110" s="125"/>
      <c r="E110" s="127"/>
      <c r="F110" s="127"/>
      <c r="G110" s="127"/>
      <c r="H110" s="125"/>
      <c r="I110" s="127"/>
      <c r="J110" s="127"/>
      <c r="K110" s="127"/>
      <c r="M110" s="127"/>
      <c r="N110" s="127"/>
      <c r="O110" s="127"/>
    </row>
    <row r="111" spans="1:15" x14ac:dyDescent="0.25">
      <c r="A111" s="125"/>
      <c r="B111" s="125"/>
      <c r="C111" s="125"/>
      <c r="D111" s="125"/>
      <c r="E111" s="127"/>
      <c r="F111" s="127"/>
      <c r="G111" s="127"/>
      <c r="H111" s="125"/>
      <c r="I111" s="127"/>
      <c r="J111" s="127"/>
      <c r="K111" s="127"/>
      <c r="M111" s="127"/>
      <c r="N111" s="127"/>
      <c r="O111" s="127"/>
    </row>
    <row r="112" spans="1:15" x14ac:dyDescent="0.25">
      <c r="A112" s="125"/>
      <c r="B112" s="125"/>
      <c r="C112" s="125"/>
      <c r="D112" s="125"/>
      <c r="E112" s="127"/>
      <c r="F112" s="127"/>
      <c r="G112" s="127"/>
      <c r="H112" s="125"/>
      <c r="I112" s="127"/>
      <c r="J112" s="127"/>
      <c r="K112" s="127"/>
      <c r="M112" s="127"/>
      <c r="N112" s="127"/>
      <c r="O112" s="127"/>
    </row>
    <row r="113" spans="1:15" x14ac:dyDescent="0.25">
      <c r="A113" s="125"/>
      <c r="B113" s="125"/>
      <c r="C113" s="125"/>
      <c r="D113" s="125"/>
      <c r="E113" s="127"/>
      <c r="F113" s="127"/>
      <c r="G113" s="127"/>
      <c r="H113" s="125"/>
      <c r="I113" s="127"/>
      <c r="J113" s="127"/>
      <c r="K113" s="127"/>
      <c r="M113" s="127"/>
      <c r="N113" s="127"/>
      <c r="O113" s="127"/>
    </row>
    <row r="114" spans="1:15" x14ac:dyDescent="0.25">
      <c r="A114" s="125"/>
      <c r="B114" s="125"/>
      <c r="C114" s="125"/>
      <c r="D114" s="125"/>
      <c r="E114" s="127"/>
      <c r="F114" s="127"/>
      <c r="G114" s="127"/>
      <c r="H114" s="125"/>
      <c r="I114" s="127"/>
      <c r="J114" s="127"/>
      <c r="K114" s="127"/>
      <c r="M114" s="127"/>
      <c r="N114" s="127"/>
      <c r="O114" s="127"/>
    </row>
    <row r="115" spans="1:15" x14ac:dyDescent="0.25">
      <c r="A115" s="125"/>
      <c r="B115" s="125"/>
      <c r="C115" s="125"/>
      <c r="D115" s="125"/>
      <c r="E115" s="127"/>
      <c r="F115" s="127"/>
      <c r="G115" s="127"/>
      <c r="H115" s="125"/>
      <c r="I115" s="127"/>
      <c r="J115" s="127"/>
      <c r="K115" s="127"/>
      <c r="M115" s="127"/>
      <c r="N115" s="127"/>
      <c r="O115" s="127"/>
    </row>
    <row r="116" spans="1:15" x14ac:dyDescent="0.25">
      <c r="A116" s="125"/>
      <c r="B116" s="199"/>
      <c r="C116" s="199"/>
      <c r="D116" s="199"/>
      <c r="E116" s="128"/>
      <c r="F116" s="128"/>
      <c r="G116" s="128"/>
      <c r="H116" s="199"/>
      <c r="I116" s="128"/>
      <c r="J116" s="128"/>
      <c r="K116" s="128"/>
      <c r="M116" s="128"/>
      <c r="N116" s="128"/>
      <c r="O116" s="128"/>
    </row>
    <row r="117" spans="1:15" x14ac:dyDescent="0.25">
      <c r="A117" s="125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M117" s="200"/>
      <c r="N117" s="200"/>
      <c r="O117" s="200"/>
    </row>
    <row r="118" spans="1:15" x14ac:dyDescent="0.25">
      <c r="A118" s="125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M118" s="132"/>
      <c r="N118" s="132"/>
      <c r="O118" s="132"/>
    </row>
    <row r="119" spans="1:15" x14ac:dyDescent="0.25">
      <c r="A119" s="125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M119" s="123"/>
      <c r="N119" s="123"/>
      <c r="O119" s="123"/>
    </row>
    <row r="120" spans="1:15" x14ac:dyDescent="0.25">
      <c r="A120" s="125"/>
      <c r="B120" s="125"/>
      <c r="C120" s="125"/>
      <c r="D120" s="125"/>
      <c r="E120" s="127"/>
      <c r="F120" s="127"/>
      <c r="G120" s="127"/>
      <c r="H120" s="125"/>
      <c r="I120" s="127"/>
      <c r="J120" s="127"/>
      <c r="K120" s="127"/>
      <c r="M120" s="127"/>
      <c r="N120" s="127"/>
      <c r="O120" s="127"/>
    </row>
    <row r="121" spans="1:15" x14ac:dyDescent="0.25">
      <c r="A121" s="125"/>
      <c r="B121" s="125"/>
      <c r="C121" s="125"/>
      <c r="D121" s="125"/>
      <c r="E121" s="127"/>
      <c r="F121" s="127"/>
      <c r="G121" s="127"/>
      <c r="H121" s="125"/>
      <c r="I121" s="127"/>
      <c r="J121" s="127"/>
      <c r="K121" s="127"/>
      <c r="M121" s="127"/>
      <c r="N121" s="127"/>
      <c r="O121" s="127"/>
    </row>
    <row r="122" spans="1:15" x14ac:dyDescent="0.25">
      <c r="A122" s="125"/>
      <c r="B122" s="125"/>
      <c r="C122" s="125"/>
      <c r="D122" s="125"/>
      <c r="E122" s="127"/>
      <c r="F122" s="127"/>
      <c r="G122" s="127"/>
      <c r="H122" s="125"/>
      <c r="I122" s="127"/>
      <c r="J122" s="127"/>
      <c r="K122" s="127"/>
      <c r="M122" s="127"/>
      <c r="N122" s="127"/>
      <c r="O122" s="127"/>
    </row>
    <row r="123" spans="1:15" x14ac:dyDescent="0.25">
      <c r="A123" s="125"/>
      <c r="B123" s="125"/>
      <c r="C123" s="125"/>
      <c r="D123" s="125"/>
      <c r="E123" s="127"/>
      <c r="F123" s="127"/>
      <c r="G123" s="127"/>
      <c r="H123" s="125"/>
      <c r="I123" s="127"/>
      <c r="J123" s="127"/>
      <c r="K123" s="127"/>
      <c r="M123" s="127"/>
      <c r="N123" s="127"/>
      <c r="O123" s="127"/>
    </row>
    <row r="124" spans="1:15" x14ac:dyDescent="0.25">
      <c r="A124" s="125"/>
      <c r="B124" s="125"/>
      <c r="C124" s="125"/>
      <c r="D124" s="125"/>
      <c r="E124" s="127"/>
      <c r="F124" s="127"/>
      <c r="G124" s="127"/>
      <c r="H124" s="125"/>
      <c r="I124" s="127"/>
      <c r="J124" s="127"/>
      <c r="K124" s="127"/>
      <c r="M124" s="127"/>
      <c r="N124" s="127"/>
      <c r="O124" s="127"/>
    </row>
    <row r="125" spans="1:15" x14ac:dyDescent="0.25">
      <c r="A125" s="125"/>
      <c r="B125" s="125"/>
      <c r="C125" s="125"/>
      <c r="D125" s="125"/>
      <c r="E125" s="127"/>
      <c r="F125" s="127"/>
      <c r="G125" s="127"/>
      <c r="H125" s="125"/>
      <c r="I125" s="127"/>
      <c r="J125" s="127"/>
      <c r="K125" s="127"/>
      <c r="M125" s="127"/>
      <c r="N125" s="127"/>
      <c r="O125" s="127"/>
    </row>
    <row r="126" spans="1:15" x14ac:dyDescent="0.25">
      <c r="A126" s="125"/>
      <c r="B126" s="125"/>
      <c r="C126" s="125"/>
      <c r="D126" s="125"/>
      <c r="E126" s="127"/>
      <c r="F126" s="127"/>
      <c r="G126" s="127"/>
      <c r="H126" s="125"/>
      <c r="I126" s="127"/>
      <c r="J126" s="127"/>
      <c r="K126" s="127"/>
      <c r="M126" s="127"/>
      <c r="N126" s="127"/>
      <c r="O126" s="127"/>
    </row>
    <row r="127" spans="1:15" x14ac:dyDescent="0.25">
      <c r="A127" s="125"/>
      <c r="B127" s="125"/>
      <c r="C127" s="125"/>
      <c r="D127" s="125"/>
      <c r="E127" s="127"/>
      <c r="F127" s="127"/>
      <c r="G127" s="127"/>
      <c r="H127" s="125"/>
      <c r="I127" s="127"/>
      <c r="J127" s="127"/>
      <c r="K127" s="127"/>
      <c r="M127" s="127"/>
      <c r="N127" s="127"/>
      <c r="O127" s="127"/>
    </row>
    <row r="128" spans="1:15" x14ac:dyDescent="0.25">
      <c r="A128" s="125"/>
      <c r="B128" s="125"/>
      <c r="C128" s="125"/>
      <c r="D128" s="125"/>
      <c r="E128" s="127"/>
      <c r="F128" s="127"/>
      <c r="G128" s="127"/>
      <c r="H128" s="125"/>
      <c r="I128" s="127"/>
      <c r="J128" s="127"/>
      <c r="K128" s="127"/>
      <c r="M128" s="127"/>
      <c r="N128" s="127"/>
      <c r="O128" s="127"/>
    </row>
    <row r="129" spans="1:15" x14ac:dyDescent="0.25">
      <c r="A129" s="125"/>
      <c r="B129" s="125"/>
      <c r="C129" s="125"/>
      <c r="D129" s="125"/>
      <c r="E129" s="127"/>
      <c r="F129" s="127"/>
      <c r="G129" s="127"/>
      <c r="H129" s="125"/>
      <c r="I129" s="127"/>
      <c r="J129" s="127"/>
      <c r="K129" s="127"/>
      <c r="M129" s="127"/>
      <c r="N129" s="127"/>
      <c r="O129" s="127"/>
    </row>
    <row r="130" spans="1:15" x14ac:dyDescent="0.25">
      <c r="A130" s="125"/>
      <c r="B130" s="199"/>
      <c r="C130" s="199"/>
      <c r="D130" s="199"/>
      <c r="E130" s="128"/>
      <c r="F130" s="128"/>
      <c r="G130" s="128"/>
      <c r="H130" s="199"/>
      <c r="I130" s="128"/>
      <c r="J130" s="128"/>
      <c r="K130" s="128"/>
      <c r="M130" s="128"/>
      <c r="N130" s="128"/>
      <c r="O130" s="128"/>
    </row>
    <row r="131" spans="1:15" ht="48.75" customHeight="1" x14ac:dyDescent="0.25">
      <c r="A131" s="125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M131" s="201"/>
      <c r="N131" s="201"/>
      <c r="O131" s="201"/>
    </row>
    <row r="132" spans="1:15" ht="9.75" customHeight="1" x14ac:dyDescent="0.25">
      <c r="A132" s="125"/>
      <c r="B132" s="132"/>
      <c r="C132" s="132"/>
      <c r="D132" s="132"/>
      <c r="E132" s="132"/>
      <c r="F132" s="126"/>
      <c r="G132" s="126"/>
      <c r="H132" s="125"/>
      <c r="I132" s="125"/>
      <c r="J132" s="125"/>
      <c r="K132" s="125"/>
      <c r="M132" s="125"/>
      <c r="N132" s="125"/>
      <c r="O132" s="125"/>
    </row>
    <row r="133" spans="1:15" x14ac:dyDescent="0.25">
      <c r="A133" s="125"/>
      <c r="B133" s="198"/>
      <c r="C133" s="198"/>
      <c r="D133" s="198"/>
      <c r="E133" s="198"/>
      <c r="F133" s="198"/>
      <c r="G133" s="198"/>
      <c r="H133" s="125"/>
      <c r="I133" s="125"/>
      <c r="J133" s="125"/>
      <c r="K133" s="125"/>
      <c r="M133" s="125"/>
      <c r="N133" s="125"/>
      <c r="O133" s="125"/>
    </row>
    <row r="134" spans="1:15" x14ac:dyDescent="0.25">
      <c r="A134" s="125"/>
      <c r="B134" s="132"/>
      <c r="C134" s="132"/>
      <c r="D134" s="132"/>
      <c r="E134" s="132"/>
      <c r="F134" s="132"/>
      <c r="G134" s="128"/>
      <c r="H134" s="125"/>
      <c r="I134" s="125"/>
      <c r="J134" s="125"/>
      <c r="K134" s="125"/>
      <c r="M134" s="125"/>
      <c r="N134" s="125"/>
      <c r="O134" s="125"/>
    </row>
    <row r="135" spans="1:15" x14ac:dyDescent="0.25">
      <c r="A135" s="125"/>
      <c r="B135" s="132"/>
      <c r="C135" s="132"/>
      <c r="D135" s="132"/>
      <c r="E135" s="132"/>
      <c r="F135" s="132"/>
      <c r="G135" s="128"/>
      <c r="H135" s="125"/>
      <c r="I135" s="125"/>
      <c r="J135" s="125"/>
      <c r="K135" s="125"/>
      <c r="M135" s="125"/>
      <c r="N135" s="125"/>
      <c r="O135" s="125"/>
    </row>
    <row r="136" spans="1:15" x14ac:dyDescent="0.25">
      <c r="A136" s="125"/>
      <c r="B136" s="132"/>
      <c r="C136" s="132"/>
      <c r="D136" s="132"/>
      <c r="E136" s="132"/>
      <c r="F136" s="132"/>
      <c r="G136" s="128"/>
      <c r="H136" s="125"/>
      <c r="I136" s="125"/>
      <c r="J136" s="125"/>
      <c r="K136" s="125"/>
      <c r="M136" s="125"/>
      <c r="N136" s="125"/>
      <c r="O136" s="125"/>
    </row>
    <row r="137" spans="1:15" x14ac:dyDescent="0.25">
      <c r="A137" s="125"/>
      <c r="B137" s="132"/>
      <c r="C137" s="132"/>
      <c r="D137" s="132"/>
      <c r="E137" s="132"/>
      <c r="F137" s="132"/>
      <c r="G137" s="128"/>
      <c r="H137" s="125"/>
      <c r="I137" s="125"/>
      <c r="J137" s="125"/>
      <c r="K137" s="125"/>
      <c r="M137" s="125"/>
      <c r="N137" s="125"/>
      <c r="O137" s="125"/>
    </row>
    <row r="138" spans="1:15" x14ac:dyDescent="0.25">
      <c r="A138" s="125"/>
      <c r="B138" s="132"/>
      <c r="C138" s="132"/>
      <c r="D138" s="132"/>
      <c r="E138" s="132"/>
      <c r="F138" s="126"/>
      <c r="G138" s="126"/>
      <c r="H138" s="125"/>
      <c r="I138" s="125"/>
      <c r="J138" s="125"/>
      <c r="K138" s="125"/>
      <c r="M138" s="125"/>
      <c r="N138" s="125"/>
      <c r="O138" s="125"/>
    </row>
    <row r="139" spans="1:15" x14ac:dyDescent="0.25">
      <c r="A139" s="125"/>
      <c r="B139" s="123"/>
      <c r="C139" s="123"/>
      <c r="D139" s="123"/>
      <c r="E139" s="123"/>
      <c r="F139" s="123"/>
      <c r="G139" s="123"/>
      <c r="H139" s="125"/>
      <c r="I139" s="125"/>
      <c r="J139" s="125"/>
      <c r="K139" s="125"/>
      <c r="M139" s="125"/>
      <c r="N139" s="125"/>
      <c r="O139" s="125"/>
    </row>
    <row r="140" spans="1:15" x14ac:dyDescent="0.25">
      <c r="A140" s="125"/>
      <c r="B140" s="125"/>
      <c r="C140" s="125"/>
      <c r="D140" s="125"/>
      <c r="E140" s="129"/>
      <c r="F140" s="129"/>
      <c r="G140" s="129"/>
      <c r="H140" s="125"/>
      <c r="I140" s="125"/>
      <c r="J140" s="125"/>
      <c r="K140" s="125"/>
      <c r="M140" s="125"/>
      <c r="N140" s="125"/>
      <c r="O140" s="125"/>
    </row>
    <row r="141" spans="1:15" x14ac:dyDescent="0.25">
      <c r="A141" s="125"/>
      <c r="B141" s="125"/>
      <c r="C141" s="125"/>
      <c r="D141" s="125"/>
      <c r="E141" s="129"/>
      <c r="F141" s="129"/>
      <c r="G141" s="129"/>
      <c r="H141" s="125"/>
      <c r="I141" s="125"/>
      <c r="J141" s="125"/>
      <c r="K141" s="125"/>
    </row>
    <row r="142" spans="1:15" x14ac:dyDescent="0.25">
      <c r="A142" s="125"/>
      <c r="B142" s="130"/>
      <c r="C142" s="130"/>
      <c r="D142" s="130"/>
      <c r="E142" s="131"/>
      <c r="F142" s="131"/>
      <c r="G142" s="131"/>
      <c r="H142" s="125"/>
      <c r="I142" s="125"/>
      <c r="J142" s="125"/>
      <c r="K142" s="125"/>
    </row>
    <row r="143" spans="1:15" x14ac:dyDescent="0.25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</row>
    <row r="144" spans="1:15" x14ac:dyDescent="0.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25"/>
    </row>
    <row r="145" spans="1:11" x14ac:dyDescent="0.25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</row>
    <row r="146" spans="1:11" x14ac:dyDescent="0.25">
      <c r="A146" s="200"/>
      <c r="B146" s="200"/>
      <c r="C146" s="200"/>
      <c r="D146" s="200"/>
      <c r="E146" s="200"/>
      <c r="F146" s="139"/>
      <c r="G146" s="139"/>
      <c r="H146" s="200"/>
      <c r="I146" s="200"/>
      <c r="J146" s="200"/>
      <c r="K146" s="125"/>
    </row>
    <row r="147" spans="1:11" x14ac:dyDescent="0.25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25"/>
    </row>
    <row r="148" spans="1:11" x14ac:dyDescent="0.25">
      <c r="A148" s="139"/>
      <c r="B148" s="139"/>
      <c r="C148" s="139"/>
      <c r="D148" s="139"/>
      <c r="E148" s="127"/>
      <c r="F148" s="127"/>
      <c r="G148" s="127"/>
      <c r="H148" s="139"/>
      <c r="I148" s="139"/>
      <c r="J148" s="127"/>
      <c r="K148" s="125"/>
    </row>
    <row r="149" spans="1:11" x14ac:dyDescent="0.25">
      <c r="A149" s="200"/>
      <c r="B149" s="200"/>
      <c r="C149" s="200"/>
      <c r="D149" s="200"/>
      <c r="E149" s="127"/>
      <c r="F149" s="127"/>
      <c r="G149" s="127"/>
      <c r="H149" s="200"/>
      <c r="I149" s="200"/>
      <c r="J149" s="127"/>
      <c r="K149" s="125"/>
    </row>
    <row r="150" spans="1:11" x14ac:dyDescent="0.25">
      <c r="A150" s="200"/>
      <c r="B150" s="200"/>
      <c r="C150" s="200"/>
      <c r="D150" s="200"/>
      <c r="E150" s="127"/>
      <c r="F150" s="127"/>
      <c r="G150" s="127"/>
      <c r="H150" s="139"/>
      <c r="I150" s="139"/>
      <c r="J150" s="139"/>
      <c r="K150" s="125"/>
    </row>
    <row r="151" spans="1:11" x14ac:dyDescent="0.25">
      <c r="A151" s="125"/>
      <c r="B151" s="125"/>
      <c r="C151" s="125"/>
      <c r="D151" s="125"/>
      <c r="E151" s="125"/>
      <c r="F151" s="125"/>
      <c r="G151" s="125"/>
      <c r="H151" s="139"/>
      <c r="I151" s="139"/>
      <c r="J151" s="139"/>
      <c r="K151" s="125"/>
    </row>
    <row r="152" spans="1:11" x14ac:dyDescent="0.25">
      <c r="A152" s="125"/>
      <c r="B152" s="125"/>
      <c r="C152" s="125"/>
      <c r="D152" s="125"/>
      <c r="E152" s="125"/>
      <c r="F152" s="125"/>
      <c r="G152" s="125"/>
      <c r="H152" s="139"/>
      <c r="I152" s="139"/>
      <c r="J152" s="139"/>
      <c r="K152" s="125"/>
    </row>
    <row r="153" spans="1:11" x14ac:dyDescent="0.25">
      <c r="A153" s="200"/>
      <c r="B153" s="200"/>
      <c r="C153" s="200"/>
      <c r="D153" s="200"/>
      <c r="E153" s="200"/>
      <c r="F153" s="139"/>
      <c r="G153" s="139"/>
      <c r="H153" s="200"/>
      <c r="I153" s="200"/>
      <c r="J153" s="200"/>
      <c r="K153" s="125"/>
    </row>
    <row r="154" spans="1:11" x14ac:dyDescent="0.25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25"/>
    </row>
    <row r="155" spans="1:11" x14ac:dyDescent="0.25">
      <c r="A155" s="139"/>
      <c r="B155" s="139"/>
      <c r="C155" s="139"/>
      <c r="D155" s="139"/>
      <c r="E155" s="127"/>
      <c r="F155" s="127"/>
      <c r="G155" s="127"/>
      <c r="H155" s="139"/>
      <c r="I155" s="139"/>
      <c r="J155" s="127"/>
      <c r="K155" s="125"/>
    </row>
    <row r="156" spans="1:11" x14ac:dyDescent="0.25">
      <c r="A156" s="139"/>
      <c r="B156" s="139"/>
      <c r="C156" s="139"/>
      <c r="D156" s="139"/>
      <c r="E156" s="127"/>
      <c r="F156" s="127"/>
      <c r="G156" s="127"/>
      <c r="H156" s="139"/>
      <c r="I156" s="139"/>
      <c r="J156" s="127"/>
      <c r="K156" s="125"/>
    </row>
    <row r="157" spans="1:11" x14ac:dyDescent="0.25">
      <c r="A157" s="139"/>
      <c r="B157" s="139"/>
      <c r="C157" s="139"/>
      <c r="D157" s="139"/>
      <c r="E157" s="127"/>
      <c r="F157" s="127"/>
      <c r="G157" s="127"/>
      <c r="H157" s="139"/>
      <c r="I157" s="139"/>
      <c r="J157" s="127"/>
      <c r="K157" s="125"/>
    </row>
    <row r="158" spans="1:11" x14ac:dyDescent="0.25">
      <c r="A158" s="139"/>
      <c r="B158" s="139"/>
      <c r="C158" s="139"/>
      <c r="D158" s="139"/>
      <c r="E158" s="127"/>
      <c r="F158" s="127"/>
      <c r="G158" s="127"/>
      <c r="H158" s="200"/>
      <c r="I158" s="200"/>
      <c r="J158" s="127"/>
      <c r="K158" s="139"/>
    </row>
    <row r="159" spans="1:11" x14ac:dyDescent="0.25">
      <c r="A159" s="139"/>
      <c r="B159" s="139"/>
      <c r="C159" s="139"/>
      <c r="D159" s="139"/>
      <c r="E159" s="127"/>
      <c r="F159" s="127"/>
      <c r="G159" s="127"/>
      <c r="H159" s="125"/>
      <c r="I159" s="125"/>
      <c r="J159" s="125"/>
      <c r="K159" s="125"/>
    </row>
    <row r="160" spans="1:11" x14ac:dyDescent="0.25">
      <c r="A160" s="139"/>
      <c r="B160" s="139"/>
      <c r="C160" s="139"/>
      <c r="D160" s="139"/>
      <c r="E160" s="127"/>
      <c r="F160" s="127"/>
      <c r="G160" s="127"/>
      <c r="H160" s="125"/>
      <c r="I160" s="125"/>
      <c r="J160" s="125"/>
      <c r="K160" s="125"/>
    </row>
    <row r="161" spans="1:11" x14ac:dyDescent="0.25">
      <c r="A161" s="139"/>
      <c r="B161" s="139"/>
      <c r="C161" s="139"/>
      <c r="D161" s="139"/>
      <c r="E161" s="127"/>
      <c r="F161" s="127"/>
      <c r="G161" s="127"/>
      <c r="H161" s="125"/>
      <c r="I161" s="125"/>
      <c r="J161" s="125"/>
      <c r="K161" s="125"/>
    </row>
    <row r="162" spans="1:11" x14ac:dyDescent="0.25">
      <c r="A162" s="139"/>
      <c r="B162" s="139"/>
      <c r="C162" s="139"/>
      <c r="D162" s="139"/>
      <c r="E162" s="127"/>
      <c r="F162" s="127"/>
      <c r="G162" s="127"/>
      <c r="H162" s="125"/>
      <c r="I162" s="125"/>
      <c r="J162" s="125"/>
      <c r="K162" s="125"/>
    </row>
    <row r="163" spans="1:11" x14ac:dyDescent="0.25">
      <c r="A163" s="139"/>
      <c r="B163" s="139"/>
      <c r="C163" s="139"/>
      <c r="D163" s="139"/>
      <c r="E163" s="127"/>
      <c r="F163" s="127"/>
      <c r="G163" s="127"/>
      <c r="H163" s="125"/>
      <c r="I163" s="125"/>
      <c r="J163" s="125"/>
      <c r="K163" s="125"/>
    </row>
    <row r="164" spans="1:11" x14ac:dyDescent="0.25">
      <c r="A164" s="139"/>
      <c r="B164" s="139"/>
      <c r="C164" s="139"/>
      <c r="D164" s="139"/>
      <c r="E164" s="127"/>
      <c r="F164" s="127"/>
      <c r="G164" s="127"/>
      <c r="H164" s="125"/>
      <c r="I164" s="125"/>
      <c r="J164" s="125"/>
      <c r="K164" s="125"/>
    </row>
    <row r="165" spans="1:11" x14ac:dyDescent="0.25">
      <c r="A165" s="139"/>
      <c r="B165" s="139"/>
      <c r="C165" s="139"/>
      <c r="D165" s="139"/>
      <c r="E165" s="127"/>
      <c r="F165" s="127"/>
      <c r="G165" s="127"/>
      <c r="H165" s="125"/>
      <c r="I165" s="125"/>
      <c r="J165" s="125"/>
      <c r="K165" s="125"/>
    </row>
    <row r="166" spans="1:11" x14ac:dyDescent="0.25">
      <c r="A166" s="139"/>
      <c r="B166" s="139"/>
      <c r="C166" s="139"/>
      <c r="D166" s="139"/>
      <c r="E166" s="127"/>
      <c r="F166" s="127"/>
      <c r="G166" s="127"/>
      <c r="H166" s="125"/>
      <c r="I166" s="125"/>
      <c r="J166" s="125"/>
      <c r="K166" s="125"/>
    </row>
    <row r="167" spans="1:11" x14ac:dyDescent="0.25">
      <c r="A167" s="139"/>
      <c r="B167" s="139"/>
      <c r="C167" s="139"/>
      <c r="D167" s="139"/>
      <c r="E167" s="127"/>
      <c r="F167" s="127"/>
      <c r="G167" s="127"/>
      <c r="H167" s="125"/>
      <c r="I167" s="125"/>
      <c r="J167" s="125"/>
      <c r="K167" s="125"/>
    </row>
    <row r="168" spans="1:11" x14ac:dyDescent="0.25">
      <c r="A168" s="207"/>
      <c r="B168" s="207"/>
      <c r="C168" s="207"/>
      <c r="D168" s="207"/>
      <c r="E168" s="127"/>
      <c r="F168" s="127"/>
      <c r="G168" s="127"/>
      <c r="H168" s="125"/>
      <c r="I168" s="125"/>
      <c r="J168" s="125"/>
      <c r="K168" s="125"/>
    </row>
    <row r="169" spans="1:11" x14ac:dyDescent="0.25">
      <c r="A169" s="207"/>
      <c r="B169" s="207"/>
      <c r="C169" s="207"/>
      <c r="D169" s="207"/>
      <c r="E169" s="127"/>
      <c r="F169" s="127"/>
      <c r="G169" s="127"/>
      <c r="H169" s="125"/>
      <c r="I169" s="125"/>
      <c r="J169" s="125"/>
      <c r="K169" s="125"/>
    </row>
    <row r="170" spans="1:11" x14ac:dyDescent="0.25">
      <c r="A170" s="207"/>
      <c r="B170" s="207"/>
      <c r="C170" s="207"/>
      <c r="D170" s="207"/>
      <c r="E170" s="127"/>
      <c r="F170" s="127"/>
      <c r="G170" s="127"/>
      <c r="H170" s="125"/>
      <c r="I170" s="125"/>
      <c r="J170" s="125"/>
      <c r="K170" s="125"/>
    </row>
    <row r="171" spans="1:11" x14ac:dyDescent="0.25">
      <c r="A171" s="139"/>
      <c r="B171" s="139"/>
      <c r="C171" s="139"/>
      <c r="D171" s="139"/>
      <c r="E171" s="139"/>
      <c r="F171" s="139"/>
      <c r="G171" s="139"/>
      <c r="H171" s="125"/>
      <c r="I171" s="125"/>
      <c r="J171" s="125"/>
      <c r="K171" s="125"/>
    </row>
    <row r="172" spans="1:11" x14ac:dyDescent="0.25">
      <c r="A172" s="139"/>
      <c r="B172" s="139"/>
      <c r="C172" s="139"/>
      <c r="D172" s="139"/>
      <c r="E172" s="139"/>
      <c r="F172" s="139"/>
      <c r="G172" s="139"/>
      <c r="H172" s="125"/>
      <c r="I172" s="125"/>
      <c r="J172" s="125"/>
      <c r="K172" s="125"/>
    </row>
    <row r="173" spans="1:11" x14ac:dyDescent="0.25">
      <c r="A173" s="139"/>
      <c r="B173" s="139"/>
      <c r="C173" s="139"/>
      <c r="D173" s="139"/>
      <c r="E173" s="127"/>
      <c r="F173" s="127"/>
      <c r="G173" s="127"/>
      <c r="H173" s="125"/>
      <c r="I173" s="125"/>
      <c r="J173" s="125"/>
      <c r="K173" s="125"/>
    </row>
    <row r="174" spans="1:11" x14ac:dyDescent="0.25">
      <c r="A174" s="139"/>
      <c r="B174" s="139"/>
      <c r="C174" s="139"/>
      <c r="D174" s="139"/>
      <c r="E174" s="127"/>
      <c r="F174" s="127"/>
      <c r="G174" s="127"/>
      <c r="H174" s="125"/>
      <c r="I174" s="125"/>
      <c r="J174" s="125"/>
      <c r="K174" s="125"/>
    </row>
    <row r="175" spans="1:11" x14ac:dyDescent="0.25">
      <c r="A175" s="207"/>
      <c r="B175" s="207"/>
      <c r="C175" s="207"/>
      <c r="D175" s="207"/>
      <c r="E175" s="127"/>
      <c r="F175" s="127"/>
      <c r="G175" s="127"/>
      <c r="H175" s="125"/>
      <c r="I175" s="125"/>
      <c r="J175" s="125"/>
      <c r="K175" s="125"/>
    </row>
    <row r="176" spans="1:11" x14ac:dyDescent="0.25">
      <c r="A176" s="207"/>
      <c r="B176" s="207"/>
      <c r="C176" s="207"/>
      <c r="D176" s="207"/>
      <c r="E176" s="127"/>
      <c r="F176" s="127"/>
      <c r="G176" s="127"/>
      <c r="H176" s="125"/>
      <c r="I176" s="125"/>
      <c r="J176" s="125"/>
      <c r="K176" s="125"/>
    </row>
    <row r="177" spans="1:11" x14ac:dyDescent="0.25">
      <c r="A177" s="208"/>
      <c r="B177" s="208"/>
      <c r="C177" s="208"/>
      <c r="D177" s="208"/>
      <c r="E177" s="127"/>
      <c r="F177" s="127"/>
      <c r="G177" s="127"/>
      <c r="H177" s="125"/>
      <c r="I177" s="125"/>
      <c r="J177" s="125"/>
      <c r="K177" s="125"/>
    </row>
    <row r="178" spans="1:11" x14ac:dyDescent="0.25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</row>
    <row r="179" spans="1:11" x14ac:dyDescent="0.25">
      <c r="A179" s="202"/>
      <c r="B179" s="202"/>
      <c r="C179" s="202"/>
      <c r="D179" s="202"/>
      <c r="E179" s="202"/>
      <c r="F179" s="202"/>
      <c r="G179" s="202"/>
      <c r="H179" s="202"/>
      <c r="I179" s="202"/>
      <c r="J179" s="202"/>
      <c r="K179" s="125"/>
    </row>
    <row r="180" spans="1:11" x14ac:dyDescent="0.25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125"/>
    </row>
    <row r="181" spans="1:11" x14ac:dyDescent="0.25">
      <c r="A181" s="125"/>
      <c r="B181" s="125"/>
      <c r="C181" s="125"/>
      <c r="D181" s="125"/>
      <c r="E181" s="125"/>
      <c r="F181" s="125"/>
      <c r="G181" s="125"/>
      <c r="H181" s="125"/>
      <c r="I181" s="125"/>
      <c r="J181" s="19"/>
      <c r="K181" s="19"/>
    </row>
    <row r="182" spans="1:11" x14ac:dyDescent="0.25">
      <c r="A182" s="139"/>
      <c r="B182" s="139"/>
      <c r="C182" s="139"/>
      <c r="D182" s="139"/>
      <c r="E182" s="139"/>
      <c r="F182" s="139"/>
      <c r="G182" s="139"/>
      <c r="H182" s="200"/>
      <c r="I182" s="200"/>
      <c r="J182" s="26"/>
      <c r="K182" s="19"/>
    </row>
    <row r="183" spans="1:11" x14ac:dyDescent="0.25">
      <c r="A183" s="112"/>
      <c r="B183" s="112"/>
      <c r="C183" s="172"/>
      <c r="D183" s="172"/>
      <c r="E183" s="112"/>
      <c r="F183" s="112"/>
      <c r="G183" s="112"/>
      <c r="H183" s="112"/>
      <c r="I183" s="112"/>
      <c r="J183" s="112"/>
      <c r="K183" s="19"/>
    </row>
    <row r="184" spans="1:11" x14ac:dyDescent="0.25">
      <c r="A184" s="112"/>
      <c r="B184" s="112"/>
      <c r="C184" s="172"/>
      <c r="D184" s="172"/>
      <c r="E184" s="117"/>
      <c r="F184" s="117"/>
      <c r="G184" s="117"/>
      <c r="H184" s="112"/>
      <c r="I184" s="112"/>
      <c r="J184" s="117"/>
      <c r="K184" s="19"/>
    </row>
    <row r="185" spans="1:11" x14ac:dyDescent="0.25">
      <c r="A185" s="116"/>
      <c r="B185" s="116"/>
      <c r="C185" s="116"/>
      <c r="D185" s="116"/>
      <c r="E185" s="117"/>
      <c r="F185" s="117"/>
      <c r="G185" s="117"/>
      <c r="H185" s="112"/>
      <c r="I185" s="112"/>
      <c r="J185" s="117"/>
      <c r="K185" s="19"/>
    </row>
    <row r="186" spans="1:11" x14ac:dyDescent="0.25">
      <c r="A186" s="116"/>
      <c r="B186" s="116"/>
      <c r="C186" s="116"/>
      <c r="D186" s="116"/>
      <c r="E186" s="117"/>
      <c r="F186" s="117"/>
      <c r="G186" s="117"/>
      <c r="H186" s="26"/>
      <c r="I186" s="26"/>
      <c r="J186" s="117"/>
      <c r="K186" s="19"/>
    </row>
    <row r="187" spans="1:1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</sheetData>
  <mergeCells count="29">
    <mergeCell ref="B64:F64"/>
    <mergeCell ref="B58:D58"/>
    <mergeCell ref="B60:F60"/>
    <mergeCell ref="B61:F61"/>
    <mergeCell ref="B62:F62"/>
    <mergeCell ref="B63:F63"/>
    <mergeCell ref="B10:D11"/>
    <mergeCell ref="K10:M11"/>
    <mergeCell ref="N10:P11"/>
    <mergeCell ref="Q10:S11"/>
    <mergeCell ref="T10:V11"/>
    <mergeCell ref="E10:G11"/>
    <mergeCell ref="H10:J11"/>
    <mergeCell ref="B65:F65"/>
    <mergeCell ref="A6:W7"/>
    <mergeCell ref="B5:W5"/>
    <mergeCell ref="A1:W1"/>
    <mergeCell ref="B2:W2"/>
    <mergeCell ref="B3:W3"/>
    <mergeCell ref="B4:W4"/>
    <mergeCell ref="T58:V58"/>
    <mergeCell ref="W10:W11"/>
    <mergeCell ref="B9:W9"/>
    <mergeCell ref="A8:W8"/>
    <mergeCell ref="E58:G58"/>
    <mergeCell ref="H58:J58"/>
    <mergeCell ref="K58:M58"/>
    <mergeCell ref="N58:P58"/>
    <mergeCell ref="Q58:S58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4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>
    <tabColor theme="3" tint="-0.249977111117893"/>
    <pageSetUpPr fitToPage="1"/>
  </sheetPr>
  <dimension ref="A1:W66"/>
  <sheetViews>
    <sheetView tabSelected="1" view="pageBreakPreview" zoomScale="112" zoomScaleNormal="100" zoomScaleSheetLayoutView="112" workbookViewId="0">
      <selection activeCell="O29" sqref="O29"/>
    </sheetView>
  </sheetViews>
  <sheetFormatPr defaultRowHeight="15" x14ac:dyDescent="0.25"/>
  <cols>
    <col min="2" max="2" width="45.85546875" bestFit="1" customWidth="1"/>
    <col min="3" max="3" width="17.140625" customWidth="1"/>
    <col min="4" max="4" width="13.85546875" customWidth="1"/>
    <col min="5" max="5" width="24.42578125" customWidth="1"/>
    <col min="8" max="8" width="19.42578125" bestFit="1" customWidth="1"/>
    <col min="9" max="9" width="9.5703125" bestFit="1" customWidth="1"/>
    <col min="12" max="12" width="9.42578125" customWidth="1"/>
    <col min="13" max="13" width="13.7109375" customWidth="1"/>
  </cols>
  <sheetData>
    <row r="1" spans="1:16" ht="61.5" customHeight="1" thickBot="1" x14ac:dyDescent="0.3">
      <c r="A1" s="718" t="s">
        <v>386</v>
      </c>
      <c r="B1" s="719"/>
      <c r="C1" s="719"/>
      <c r="D1" s="719"/>
      <c r="E1" s="719"/>
      <c r="F1" s="719"/>
      <c r="G1" s="720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15" customHeight="1" x14ac:dyDescent="0.25">
      <c r="A2" s="113" t="s">
        <v>12</v>
      </c>
      <c r="B2" s="473" t="str">
        <f>'PLANILHA ORÇAMENTARIA'!B2:E2</f>
        <v>ESCOLA MUNICIPAL DOMINGOS AZZONLINI</v>
      </c>
      <c r="C2" s="721"/>
      <c r="D2" s="721"/>
      <c r="E2" s="721"/>
      <c r="F2" s="721"/>
      <c r="G2" s="722"/>
      <c r="H2" s="162"/>
      <c r="I2" s="162"/>
      <c r="J2" s="162"/>
      <c r="K2" s="162"/>
      <c r="L2" s="162"/>
      <c r="M2" s="162"/>
      <c r="N2" s="162"/>
      <c r="O2" s="162"/>
      <c r="P2" s="162"/>
    </row>
    <row r="3" spans="1:16" ht="15" customHeight="1" x14ac:dyDescent="0.25">
      <c r="A3" s="114" t="s">
        <v>13</v>
      </c>
      <c r="B3" s="475" t="str">
        <f>'PLANILHA ORÇAMENTARIA'!B3:E3</f>
        <v>SANTO ANTÔNIO DO LESTE - MT</v>
      </c>
      <c r="C3" s="562"/>
      <c r="D3" s="562"/>
      <c r="E3" s="562"/>
      <c r="F3" s="562"/>
      <c r="G3" s="679"/>
      <c r="H3" s="162"/>
      <c r="I3" s="162"/>
      <c r="J3" s="162"/>
      <c r="K3" s="162"/>
      <c r="L3" s="162"/>
      <c r="M3" s="162"/>
      <c r="N3" s="162"/>
      <c r="O3" s="162"/>
      <c r="P3" s="162"/>
    </row>
    <row r="4" spans="1:16" ht="15" customHeight="1" x14ac:dyDescent="0.25">
      <c r="A4" s="114" t="s">
        <v>14</v>
      </c>
      <c r="B4" s="475" t="str">
        <f>'PLANILHA ORÇAMENTARIA'!B4:E4</f>
        <v>PREFEITURA MUNICIPAL DE SANTO ANTÔNIO DO LESTE - MT</v>
      </c>
      <c r="C4" s="562"/>
      <c r="D4" s="562"/>
      <c r="E4" s="562"/>
      <c r="F4" s="562"/>
      <c r="G4" s="679"/>
      <c r="H4" s="162"/>
      <c r="I4" s="162"/>
      <c r="J4" s="162"/>
      <c r="K4" s="162"/>
      <c r="L4" s="162"/>
      <c r="M4" s="162"/>
      <c r="N4" s="162"/>
      <c r="O4" s="162"/>
      <c r="P4" s="162"/>
    </row>
    <row r="5" spans="1:16" ht="15.75" customHeight="1" thickBot="1" x14ac:dyDescent="0.3">
      <c r="A5" s="163" t="s">
        <v>15</v>
      </c>
      <c r="B5" s="723">
        <f>'PLANILHA ORÇAMENTARIA'!B5:E5</f>
        <v>44810</v>
      </c>
      <c r="C5" s="681"/>
      <c r="D5" s="681"/>
      <c r="E5" s="681"/>
      <c r="F5" s="681"/>
      <c r="G5" s="682"/>
      <c r="H5" s="162"/>
      <c r="I5" s="162"/>
      <c r="J5" s="162"/>
      <c r="K5" s="162"/>
      <c r="L5" s="162"/>
      <c r="M5" s="162"/>
      <c r="N5" s="162"/>
      <c r="O5" s="162"/>
      <c r="P5" s="162"/>
    </row>
    <row r="6" spans="1:16" ht="15" customHeight="1" x14ac:dyDescent="0.25">
      <c r="A6" s="532" t="s">
        <v>354</v>
      </c>
      <c r="B6" s="533"/>
      <c r="C6" s="533"/>
      <c r="D6" s="533"/>
      <c r="E6" s="533"/>
      <c r="F6" s="533"/>
      <c r="G6" s="534"/>
      <c r="H6" s="162"/>
      <c r="I6" s="162"/>
      <c r="J6" s="162"/>
      <c r="K6" s="162"/>
      <c r="L6" s="162"/>
      <c r="M6" s="162"/>
      <c r="N6" s="162"/>
      <c r="O6" s="162"/>
      <c r="P6" s="162"/>
    </row>
    <row r="7" spans="1:16" ht="15" customHeight="1" thickBot="1" x14ac:dyDescent="0.3">
      <c r="A7" s="569"/>
      <c r="B7" s="570"/>
      <c r="C7" s="570"/>
      <c r="D7" s="570"/>
      <c r="E7" s="570"/>
      <c r="F7" s="570"/>
      <c r="G7" s="571"/>
      <c r="H7" s="162"/>
      <c r="I7" s="162"/>
      <c r="J7" s="162"/>
      <c r="K7" s="162"/>
      <c r="L7" s="162"/>
      <c r="M7" s="162"/>
      <c r="N7" s="162"/>
      <c r="O7" s="162"/>
      <c r="P7" s="162"/>
    </row>
    <row r="8" spans="1:16" x14ac:dyDescent="0.25">
      <c r="B8" s="724" t="s">
        <v>227</v>
      </c>
      <c r="C8" s="724"/>
      <c r="D8" s="724"/>
      <c r="E8" s="724"/>
      <c r="G8" s="26"/>
      <c r="H8" s="26"/>
      <c r="I8" s="26"/>
      <c r="J8" s="19"/>
      <c r="K8" s="26"/>
      <c r="L8" s="26"/>
      <c r="M8" s="26"/>
      <c r="N8" s="26"/>
    </row>
    <row r="9" spans="1:16" x14ac:dyDescent="0.25">
      <c r="B9" s="119" t="s">
        <v>222</v>
      </c>
      <c r="C9" s="119" t="s">
        <v>355</v>
      </c>
      <c r="D9" s="118" t="s">
        <v>356</v>
      </c>
      <c r="E9" s="118" t="s">
        <v>358</v>
      </c>
      <c r="G9" s="112"/>
      <c r="H9" s="112"/>
      <c r="I9" s="112"/>
      <c r="J9" s="112"/>
      <c r="K9" s="112"/>
      <c r="L9" s="112"/>
      <c r="M9" s="112"/>
      <c r="N9" s="112"/>
    </row>
    <row r="10" spans="1:16" x14ac:dyDescent="0.25">
      <c r="B10" s="31" t="s">
        <v>393</v>
      </c>
      <c r="C10" s="54">
        <v>21.51</v>
      </c>
      <c r="D10" s="54">
        <v>3</v>
      </c>
      <c r="E10" s="54">
        <f>C10*D10</f>
        <v>64.53</v>
      </c>
      <c r="G10" s="112"/>
      <c r="H10" s="112"/>
      <c r="I10" s="117"/>
      <c r="J10" s="112"/>
      <c r="K10" s="112"/>
      <c r="L10" s="112"/>
      <c r="M10" s="112"/>
      <c r="N10" s="117"/>
    </row>
    <row r="11" spans="1:16" x14ac:dyDescent="0.25">
      <c r="B11" s="31" t="s">
        <v>394</v>
      </c>
      <c r="C11" s="54">
        <v>21.51</v>
      </c>
      <c r="D11" s="54">
        <v>3</v>
      </c>
      <c r="E11" s="54">
        <f t="shared" ref="E11:E12" si="0">C11*D11</f>
        <v>64.53</v>
      </c>
      <c r="G11" s="112"/>
      <c r="H11" s="112"/>
      <c r="I11" s="117"/>
      <c r="J11" s="112"/>
      <c r="K11" s="112"/>
      <c r="L11" s="112"/>
      <c r="M11" s="112"/>
      <c r="N11" s="117"/>
    </row>
    <row r="12" spans="1:16" x14ac:dyDescent="0.25">
      <c r="B12" s="31" t="s">
        <v>362</v>
      </c>
      <c r="C12" s="54">
        <v>2.5499999999999998</v>
      </c>
      <c r="D12" s="54">
        <v>3</v>
      </c>
      <c r="E12" s="54">
        <f t="shared" si="0"/>
        <v>7.6499999999999995</v>
      </c>
      <c r="G12" s="112"/>
      <c r="H12" s="112"/>
      <c r="I12" s="117"/>
      <c r="J12" s="112"/>
      <c r="K12" s="112"/>
      <c r="L12" s="112"/>
      <c r="M12" s="112"/>
      <c r="N12" s="117"/>
    </row>
    <row r="13" spans="1:16" x14ac:dyDescent="0.25">
      <c r="B13" s="55" t="s">
        <v>225</v>
      </c>
      <c r="C13" s="56"/>
      <c r="D13" s="56"/>
      <c r="E13" s="56">
        <f>SUM(E10:E12)</f>
        <v>136.71</v>
      </c>
      <c r="G13" s="26"/>
      <c r="H13" s="26"/>
      <c r="I13" s="26"/>
      <c r="J13" s="19"/>
      <c r="K13" s="26"/>
      <c r="L13" s="26"/>
      <c r="M13" s="26"/>
      <c r="N13" s="26"/>
    </row>
    <row r="14" spans="1:16" ht="6.75" customHeight="1" x14ac:dyDescent="0.25">
      <c r="G14" s="112"/>
      <c r="H14" s="112"/>
      <c r="I14" s="117"/>
      <c r="J14" s="112"/>
      <c r="K14" s="112"/>
      <c r="L14" s="112"/>
      <c r="M14" s="112"/>
      <c r="N14" s="117"/>
    </row>
    <row r="15" spans="1:16" x14ac:dyDescent="0.25">
      <c r="B15" s="724" t="s">
        <v>360</v>
      </c>
      <c r="C15" s="724"/>
      <c r="D15" s="724"/>
      <c r="E15" s="724"/>
      <c r="G15" s="112"/>
      <c r="H15" s="112"/>
      <c r="I15" s="117"/>
      <c r="J15" s="112"/>
      <c r="K15" s="112"/>
      <c r="L15" s="112"/>
      <c r="M15" s="112"/>
      <c r="N15" s="117"/>
    </row>
    <row r="16" spans="1:16" x14ac:dyDescent="0.25">
      <c r="B16" s="119" t="s">
        <v>222</v>
      </c>
      <c r="C16" s="119" t="s">
        <v>355</v>
      </c>
      <c r="D16" s="174" t="s">
        <v>356</v>
      </c>
      <c r="E16" s="174" t="s">
        <v>359</v>
      </c>
      <c r="G16" s="112"/>
      <c r="H16" s="112"/>
      <c r="I16" s="117"/>
      <c r="J16" s="112"/>
      <c r="K16" s="26"/>
      <c r="L16" s="26"/>
      <c r="M16" s="26"/>
      <c r="N16" s="117"/>
    </row>
    <row r="17" spans="2:23" x14ac:dyDescent="0.25">
      <c r="B17" s="31" t="s">
        <v>393</v>
      </c>
      <c r="C17" s="54">
        <v>21.51</v>
      </c>
      <c r="D17" s="54">
        <v>3</v>
      </c>
      <c r="E17" s="54">
        <f>C17*D17</f>
        <v>64.53</v>
      </c>
      <c r="G17" s="26"/>
      <c r="H17" s="26"/>
      <c r="I17" s="117"/>
      <c r="J17" s="112"/>
      <c r="K17" s="19"/>
      <c r="L17" s="19"/>
      <c r="M17" s="19"/>
      <c r="N17" s="19"/>
    </row>
    <row r="18" spans="2:23" x14ac:dyDescent="0.25">
      <c r="B18" s="31" t="s">
        <v>394</v>
      </c>
      <c r="C18" s="54">
        <v>21.51</v>
      </c>
      <c r="D18" s="54">
        <v>3</v>
      </c>
      <c r="E18" s="54">
        <f t="shared" ref="E18:E19" si="1">C18*D18</f>
        <v>64.53</v>
      </c>
      <c r="G18" s="116"/>
      <c r="H18" s="116"/>
      <c r="I18" s="117"/>
      <c r="J18" s="112"/>
      <c r="K18" s="19"/>
      <c r="L18" s="19"/>
      <c r="M18" s="19"/>
      <c r="N18" s="19"/>
    </row>
    <row r="19" spans="2:23" x14ac:dyDescent="0.25">
      <c r="B19" s="31" t="s">
        <v>362</v>
      </c>
      <c r="C19" s="54">
        <v>2.5499999999999998</v>
      </c>
      <c r="D19" s="54">
        <v>3</v>
      </c>
      <c r="E19" s="54">
        <f t="shared" si="1"/>
        <v>7.6499999999999995</v>
      </c>
      <c r="G19" s="116"/>
      <c r="H19" s="116"/>
      <c r="I19" s="117"/>
      <c r="J19" s="112"/>
      <c r="K19" s="19"/>
      <c r="L19" s="19"/>
      <c r="M19" s="19"/>
      <c r="N19" s="19"/>
    </row>
    <row r="20" spans="2:23" x14ac:dyDescent="0.25">
      <c r="B20" s="55" t="s">
        <v>225</v>
      </c>
      <c r="C20" s="56"/>
      <c r="D20" s="56"/>
      <c r="E20" s="56">
        <f>(SUM(E17:E19)*2)</f>
        <v>273.42</v>
      </c>
      <c r="G20" s="26"/>
      <c r="H20" s="26"/>
      <c r="I20" s="26"/>
      <c r="J20" s="19"/>
      <c r="K20" s="26"/>
      <c r="L20" s="26"/>
      <c r="M20" s="26"/>
      <c r="N20" s="26"/>
      <c r="O20" s="19"/>
      <c r="P20" s="19"/>
      <c r="Q20" s="19"/>
      <c r="R20" s="19"/>
      <c r="S20" s="19"/>
      <c r="T20" s="19"/>
      <c r="U20" s="19"/>
      <c r="V20" s="19"/>
      <c r="W20" s="19"/>
    </row>
    <row r="21" spans="2:23" ht="5.25" customHeight="1" x14ac:dyDescent="0.25">
      <c r="G21" s="112"/>
      <c r="H21" s="112"/>
      <c r="I21" s="112"/>
      <c r="J21" s="112"/>
      <c r="K21" s="112"/>
      <c r="L21" s="112"/>
      <c r="M21" s="112"/>
      <c r="N21" s="112"/>
      <c r="O21" s="19"/>
      <c r="P21" s="19"/>
      <c r="Q21" s="19"/>
      <c r="R21" s="19"/>
      <c r="S21" s="19"/>
      <c r="T21" s="19"/>
      <c r="U21" s="19"/>
      <c r="V21" s="19"/>
      <c r="W21" s="19"/>
    </row>
    <row r="22" spans="2:23" x14ac:dyDescent="0.25">
      <c r="B22" s="724" t="s">
        <v>396</v>
      </c>
      <c r="C22" s="724"/>
      <c r="D22" s="724"/>
      <c r="E22" s="724"/>
      <c r="G22" s="112"/>
      <c r="H22" s="112"/>
      <c r="I22" s="117"/>
      <c r="J22" s="112"/>
      <c r="K22" s="112"/>
      <c r="L22" s="112"/>
      <c r="M22" s="112"/>
      <c r="N22" s="117"/>
      <c r="O22" s="19"/>
      <c r="P22" s="19"/>
      <c r="Q22" s="19"/>
      <c r="R22" s="19"/>
      <c r="S22" s="19"/>
      <c r="T22" s="19"/>
      <c r="U22" s="19"/>
      <c r="V22" s="19"/>
      <c r="W22" s="19"/>
    </row>
    <row r="23" spans="2:23" x14ac:dyDescent="0.25">
      <c r="B23" s="119" t="s">
        <v>222</v>
      </c>
      <c r="C23" s="119" t="s">
        <v>355</v>
      </c>
      <c r="D23" s="174" t="s">
        <v>356</v>
      </c>
      <c r="E23" s="174" t="s">
        <v>395</v>
      </c>
      <c r="G23" s="112"/>
      <c r="H23" s="112"/>
      <c r="I23" s="117"/>
      <c r="J23" s="112"/>
      <c r="K23" s="26"/>
      <c r="L23" s="26"/>
      <c r="M23" s="26"/>
      <c r="N23" s="117"/>
      <c r="O23" s="19"/>
      <c r="P23" s="19"/>
      <c r="Q23" s="19"/>
      <c r="R23" s="19"/>
      <c r="S23" s="19"/>
      <c r="T23" s="19"/>
      <c r="U23" s="19"/>
      <c r="V23" s="19"/>
      <c r="W23" s="19"/>
    </row>
    <row r="24" spans="2:23" x14ac:dyDescent="0.25">
      <c r="B24" s="31" t="s">
        <v>393</v>
      </c>
      <c r="C24" s="54">
        <v>21.51</v>
      </c>
      <c r="D24" s="54">
        <v>3</v>
      </c>
      <c r="E24" s="54">
        <f>C24*D24</f>
        <v>64.53</v>
      </c>
      <c r="G24" s="26"/>
      <c r="H24" s="26"/>
      <c r="I24" s="117"/>
      <c r="J24" s="112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2:23" x14ac:dyDescent="0.25">
      <c r="B25" s="31" t="s">
        <v>394</v>
      </c>
      <c r="C25" s="54">
        <v>21.51</v>
      </c>
      <c r="D25" s="54">
        <v>3</v>
      </c>
      <c r="E25" s="54">
        <f t="shared" ref="E25:E26" si="2">C25*D25</f>
        <v>64.53</v>
      </c>
      <c r="G25" s="116"/>
      <c r="H25" s="116"/>
      <c r="I25" s="117"/>
      <c r="J25" s="112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2:23" x14ac:dyDescent="0.25">
      <c r="B26" s="31" t="s">
        <v>362</v>
      </c>
      <c r="C26" s="54">
        <v>2.5499999999999998</v>
      </c>
      <c r="D26" s="54">
        <v>3</v>
      </c>
      <c r="E26" s="54">
        <f t="shared" si="2"/>
        <v>7.6499999999999995</v>
      </c>
      <c r="G26" s="116"/>
      <c r="H26" s="116"/>
      <c r="I26" s="117"/>
      <c r="J26" s="112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2:23" x14ac:dyDescent="0.25">
      <c r="B27" s="55" t="s">
        <v>225</v>
      </c>
      <c r="C27" s="56"/>
      <c r="D27" s="56"/>
      <c r="E27" s="56">
        <f>(SUM(E24:E26)*2)</f>
        <v>273.42</v>
      </c>
      <c r="G27" s="26"/>
      <c r="H27" s="26"/>
      <c r="I27" s="26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2:23" x14ac:dyDescent="0.25">
      <c r="B28" s="55"/>
      <c r="C28" s="56"/>
      <c r="D28" s="56"/>
      <c r="E28" s="56"/>
      <c r="G28" s="26"/>
      <c r="H28" s="26"/>
      <c r="I28" s="26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</row>
    <row r="29" spans="2:23" ht="27" customHeight="1" x14ac:dyDescent="0.25">
      <c r="B29" s="725" t="s">
        <v>397</v>
      </c>
      <c r="C29" s="725"/>
      <c r="D29" s="725"/>
      <c r="E29" s="725"/>
      <c r="G29" s="112"/>
      <c r="H29" s="112"/>
      <c r="I29" s="1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2:23" x14ac:dyDescent="0.25">
      <c r="G30" s="26"/>
      <c r="H30" s="26"/>
      <c r="I30" s="11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2:23" x14ac:dyDescent="0.25">
      <c r="G31" s="120"/>
      <c r="H31" s="120"/>
      <c r="I31" s="1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2:23" x14ac:dyDescent="0.25"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7:23" x14ac:dyDescent="0.25">
      <c r="G33" s="121"/>
      <c r="H33" s="121"/>
      <c r="I33" s="121"/>
      <c r="J33" s="121"/>
      <c r="K33" s="121"/>
      <c r="L33" s="121"/>
      <c r="M33" s="121"/>
      <c r="N33" s="121"/>
      <c r="O33" s="19"/>
      <c r="P33" s="121"/>
      <c r="Q33" s="121"/>
      <c r="R33" s="121"/>
      <c r="S33" s="121"/>
      <c r="T33" s="121"/>
      <c r="U33" s="121"/>
      <c r="V33" s="121"/>
      <c r="W33" s="121"/>
    </row>
    <row r="34" spans="7:23" x14ac:dyDescent="0.25"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7:23" x14ac:dyDescent="0.25">
      <c r="G35" s="26"/>
      <c r="H35" s="26"/>
      <c r="I35" s="26"/>
      <c r="J35" s="112"/>
      <c r="K35" s="26"/>
      <c r="L35" s="26"/>
      <c r="M35" s="26"/>
      <c r="N35" s="26"/>
      <c r="O35" s="19"/>
      <c r="P35" s="26"/>
      <c r="Q35" s="26"/>
      <c r="R35" s="26"/>
      <c r="S35" s="112"/>
      <c r="T35" s="26"/>
      <c r="U35" s="26"/>
      <c r="V35" s="26"/>
      <c r="W35" s="26"/>
    </row>
    <row r="36" spans="7:23" x14ac:dyDescent="0.25">
      <c r="G36" s="112"/>
      <c r="H36" s="112"/>
      <c r="I36" s="112"/>
      <c r="J36" s="112"/>
      <c r="K36" s="112"/>
      <c r="L36" s="112"/>
      <c r="M36" s="112"/>
      <c r="N36" s="112"/>
      <c r="O36" s="19"/>
      <c r="P36" s="112"/>
      <c r="Q36" s="112"/>
      <c r="R36" s="112"/>
      <c r="S36" s="112"/>
      <c r="T36" s="112"/>
      <c r="U36" s="112"/>
      <c r="V36" s="112"/>
      <c r="W36" s="112"/>
    </row>
    <row r="37" spans="7:23" x14ac:dyDescent="0.25">
      <c r="G37" s="112"/>
      <c r="H37" s="112"/>
      <c r="I37" s="117"/>
      <c r="J37" s="112"/>
      <c r="K37" s="112"/>
      <c r="L37" s="112"/>
      <c r="M37" s="112"/>
      <c r="N37" s="117"/>
      <c r="O37" s="19"/>
      <c r="P37" s="112"/>
      <c r="Q37" s="112"/>
      <c r="R37" s="117"/>
      <c r="S37" s="112"/>
      <c r="T37" s="112"/>
      <c r="U37" s="112"/>
      <c r="V37" s="112"/>
      <c r="W37" s="117"/>
    </row>
    <row r="38" spans="7:23" x14ac:dyDescent="0.25">
      <c r="G38" s="112"/>
      <c r="H38" s="112"/>
      <c r="I38" s="117"/>
      <c r="J38" s="112"/>
      <c r="K38" s="112"/>
      <c r="L38" s="112"/>
      <c r="M38" s="112"/>
      <c r="N38" s="117"/>
      <c r="O38" s="19"/>
      <c r="P38" s="112"/>
      <c r="Q38" s="112"/>
      <c r="R38" s="117"/>
      <c r="S38" s="112"/>
      <c r="T38" s="112"/>
      <c r="U38" s="112"/>
      <c r="V38" s="112"/>
      <c r="W38" s="117"/>
    </row>
    <row r="39" spans="7:23" x14ac:dyDescent="0.25">
      <c r="G39" s="26"/>
      <c r="H39" s="26"/>
      <c r="I39" s="117"/>
      <c r="J39" s="112"/>
      <c r="K39" s="116"/>
      <c r="L39" s="116"/>
      <c r="M39" s="116"/>
      <c r="N39" s="117"/>
      <c r="O39" s="19"/>
      <c r="P39" s="26"/>
      <c r="Q39" s="26"/>
      <c r="R39" s="117"/>
      <c r="S39" s="112"/>
      <c r="T39" s="116"/>
      <c r="U39" s="116"/>
      <c r="V39" s="116"/>
      <c r="W39" s="117"/>
    </row>
    <row r="40" spans="7:23" x14ac:dyDescent="0.25">
      <c r="G40" s="26"/>
      <c r="H40" s="26"/>
      <c r="I40" s="117"/>
      <c r="J40" s="19"/>
      <c r="K40" s="19"/>
      <c r="L40" s="19"/>
      <c r="M40" s="19"/>
      <c r="N40" s="19"/>
      <c r="O40" s="19"/>
      <c r="P40" s="26"/>
      <c r="Q40" s="26"/>
      <c r="R40" s="117"/>
      <c r="S40" s="19"/>
      <c r="T40" s="19"/>
      <c r="U40" s="19"/>
      <c r="V40" s="19"/>
      <c r="W40" s="19"/>
    </row>
    <row r="41" spans="7:23" x14ac:dyDescent="0.25"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7:23" x14ac:dyDescent="0.25">
      <c r="G42" s="26"/>
      <c r="H42" s="26"/>
      <c r="I42" s="26"/>
      <c r="J42" s="112"/>
      <c r="K42" s="19"/>
      <c r="L42" s="19"/>
      <c r="M42" s="19"/>
      <c r="N42" s="19"/>
      <c r="O42" s="19"/>
      <c r="P42" s="26"/>
      <c r="Q42" s="26"/>
      <c r="R42" s="26"/>
      <c r="S42" s="112"/>
      <c r="T42" s="19"/>
      <c r="U42" s="19"/>
      <c r="V42" s="19"/>
      <c r="W42" s="19"/>
    </row>
    <row r="43" spans="7:23" x14ac:dyDescent="0.25">
      <c r="G43" s="112"/>
      <c r="H43" s="112"/>
      <c r="I43" s="112"/>
      <c r="J43" s="112"/>
      <c r="K43" s="26"/>
      <c r="L43" s="26"/>
      <c r="M43" s="26"/>
      <c r="N43" s="26"/>
      <c r="O43" s="19"/>
      <c r="P43" s="112"/>
      <c r="Q43" s="112"/>
      <c r="R43" s="112"/>
      <c r="S43" s="112"/>
      <c r="T43" s="26"/>
      <c r="U43" s="26"/>
      <c r="V43" s="26"/>
      <c r="W43" s="26"/>
    </row>
    <row r="44" spans="7:23" x14ac:dyDescent="0.25">
      <c r="G44" s="112"/>
      <c r="H44" s="112"/>
      <c r="I44" s="117"/>
      <c r="J44" s="112"/>
      <c r="K44" s="112"/>
      <c r="L44" s="112"/>
      <c r="M44" s="112"/>
      <c r="N44" s="112"/>
      <c r="O44" s="19"/>
      <c r="P44" s="112"/>
      <c r="Q44" s="112"/>
      <c r="R44" s="117"/>
      <c r="S44" s="112"/>
      <c r="T44" s="112"/>
      <c r="U44" s="112"/>
      <c r="V44" s="112"/>
      <c r="W44" s="112"/>
    </row>
    <row r="45" spans="7:23" x14ac:dyDescent="0.25">
      <c r="G45" s="112"/>
      <c r="H45" s="112"/>
      <c r="I45" s="117"/>
      <c r="J45" s="112"/>
      <c r="K45" s="112"/>
      <c r="L45" s="112"/>
      <c r="M45" s="112"/>
      <c r="N45" s="117"/>
      <c r="O45" s="19"/>
      <c r="P45" s="112"/>
      <c r="Q45" s="112"/>
      <c r="R45" s="117"/>
      <c r="S45" s="112"/>
      <c r="T45" s="112"/>
      <c r="U45" s="112"/>
      <c r="V45" s="112"/>
      <c r="W45" s="117"/>
    </row>
    <row r="46" spans="7:23" x14ac:dyDescent="0.25">
      <c r="G46" s="112"/>
      <c r="H46" s="112"/>
      <c r="I46" s="117"/>
      <c r="J46" s="19"/>
      <c r="K46" s="112"/>
      <c r="L46" s="112"/>
      <c r="M46" s="112"/>
      <c r="N46" s="117"/>
      <c r="O46" s="19"/>
      <c r="P46" s="112"/>
      <c r="Q46" s="112"/>
      <c r="R46" s="117"/>
      <c r="S46" s="19"/>
      <c r="T46" s="112"/>
      <c r="U46" s="112"/>
      <c r="V46" s="112"/>
      <c r="W46" s="117"/>
    </row>
    <row r="47" spans="7:23" x14ac:dyDescent="0.25">
      <c r="G47" s="112"/>
      <c r="H47" s="112"/>
      <c r="I47" s="117"/>
      <c r="J47" s="19"/>
      <c r="K47" s="26"/>
      <c r="L47" s="26"/>
      <c r="M47" s="26"/>
      <c r="N47" s="117"/>
      <c r="O47" s="19"/>
      <c r="P47" s="112"/>
      <c r="Q47" s="112"/>
      <c r="R47" s="117"/>
      <c r="S47" s="19"/>
      <c r="T47" s="26"/>
      <c r="U47" s="26"/>
      <c r="V47" s="26"/>
      <c r="W47" s="117"/>
    </row>
    <row r="48" spans="7:23" x14ac:dyDescent="0.25">
      <c r="G48" s="112"/>
      <c r="H48" s="112"/>
      <c r="I48" s="117"/>
      <c r="J48" s="19"/>
      <c r="K48" s="19"/>
      <c r="L48" s="19"/>
      <c r="M48" s="19"/>
      <c r="N48" s="19"/>
      <c r="O48" s="19"/>
      <c r="P48" s="112"/>
      <c r="Q48" s="112"/>
      <c r="R48" s="117"/>
      <c r="S48" s="19"/>
      <c r="T48" s="19"/>
      <c r="U48" s="19"/>
      <c r="V48" s="19"/>
      <c r="W48" s="19"/>
    </row>
    <row r="49" spans="7:23" x14ac:dyDescent="0.25">
      <c r="G49" s="112"/>
      <c r="H49" s="112"/>
      <c r="I49" s="117"/>
      <c r="J49" s="19"/>
      <c r="K49" s="19"/>
      <c r="L49" s="19"/>
      <c r="M49" s="19"/>
      <c r="N49" s="19"/>
      <c r="O49" s="19"/>
      <c r="P49" s="112"/>
      <c r="Q49" s="112"/>
      <c r="R49" s="117"/>
      <c r="S49" s="19"/>
      <c r="T49" s="19"/>
      <c r="U49" s="19"/>
      <c r="V49" s="19"/>
      <c r="W49" s="19"/>
    </row>
    <row r="50" spans="7:23" x14ac:dyDescent="0.25">
      <c r="G50" s="112"/>
      <c r="H50" s="112"/>
      <c r="I50" s="117"/>
      <c r="J50" s="19"/>
      <c r="K50" s="19"/>
      <c r="L50" s="19"/>
      <c r="M50" s="19"/>
      <c r="N50" s="19"/>
      <c r="O50" s="19"/>
      <c r="P50" s="112"/>
      <c r="Q50" s="112"/>
      <c r="R50" s="117"/>
      <c r="S50" s="19"/>
      <c r="T50" s="19"/>
      <c r="U50" s="19"/>
      <c r="V50" s="19"/>
      <c r="W50" s="19"/>
    </row>
    <row r="51" spans="7:23" x14ac:dyDescent="0.25">
      <c r="G51" s="112"/>
      <c r="H51" s="112"/>
      <c r="I51" s="117"/>
      <c r="J51" s="19"/>
      <c r="K51" s="19"/>
      <c r="L51" s="19"/>
      <c r="M51" s="19"/>
      <c r="N51" s="19"/>
      <c r="O51" s="19"/>
      <c r="P51" s="112"/>
      <c r="Q51" s="112"/>
      <c r="R51" s="117"/>
      <c r="S51" s="19"/>
      <c r="T51" s="19"/>
      <c r="U51" s="19"/>
      <c r="V51" s="19"/>
      <c r="W51" s="19"/>
    </row>
    <row r="52" spans="7:23" x14ac:dyDescent="0.25">
      <c r="G52" s="112"/>
      <c r="H52" s="112"/>
      <c r="I52" s="117"/>
      <c r="J52" s="19"/>
      <c r="K52" s="19"/>
      <c r="L52" s="19"/>
      <c r="M52" s="19"/>
      <c r="N52" s="19"/>
      <c r="O52" s="19"/>
      <c r="P52" s="112"/>
      <c r="Q52" s="112"/>
      <c r="R52" s="117"/>
      <c r="S52" s="19"/>
      <c r="T52" s="19"/>
      <c r="U52" s="19"/>
      <c r="V52" s="19"/>
      <c r="W52" s="19"/>
    </row>
    <row r="53" spans="7:23" x14ac:dyDescent="0.25">
      <c r="G53" s="112"/>
      <c r="H53" s="112"/>
      <c r="I53" s="117"/>
      <c r="J53" s="19"/>
      <c r="K53" s="19"/>
      <c r="L53" s="19"/>
      <c r="M53" s="19"/>
      <c r="N53" s="19"/>
      <c r="O53" s="19"/>
      <c r="P53" s="112"/>
      <c r="Q53" s="112"/>
      <c r="R53" s="117"/>
      <c r="S53" s="19"/>
      <c r="T53" s="19"/>
      <c r="U53" s="19"/>
      <c r="V53" s="19"/>
      <c r="W53" s="19"/>
    </row>
    <row r="54" spans="7:23" x14ac:dyDescent="0.25">
      <c r="G54" s="112"/>
      <c r="H54" s="112"/>
      <c r="I54" s="117"/>
      <c r="J54" s="19"/>
      <c r="K54" s="19"/>
      <c r="L54" s="19"/>
      <c r="M54" s="19"/>
      <c r="N54" s="19"/>
      <c r="O54" s="19"/>
      <c r="P54" s="112"/>
      <c r="Q54" s="112"/>
      <c r="R54" s="117"/>
      <c r="S54" s="19"/>
      <c r="T54" s="19"/>
      <c r="U54" s="19"/>
      <c r="V54" s="19"/>
      <c r="W54" s="19"/>
    </row>
    <row r="55" spans="7:23" x14ac:dyDescent="0.25">
      <c r="G55" s="112"/>
      <c r="H55" s="112"/>
      <c r="I55" s="117"/>
      <c r="J55" s="19"/>
      <c r="K55" s="19"/>
      <c r="L55" s="19"/>
      <c r="M55" s="19"/>
      <c r="N55" s="19"/>
      <c r="O55" s="19"/>
      <c r="P55" s="112"/>
      <c r="Q55" s="112"/>
      <c r="R55" s="117"/>
      <c r="S55" s="19"/>
      <c r="T55" s="19"/>
      <c r="U55" s="19"/>
      <c r="V55" s="19"/>
      <c r="W55" s="19"/>
    </row>
    <row r="56" spans="7:23" x14ac:dyDescent="0.25">
      <c r="G56" s="26"/>
      <c r="H56" s="26"/>
      <c r="I56" s="117"/>
      <c r="J56" s="19"/>
      <c r="K56" s="19"/>
      <c r="L56" s="19"/>
      <c r="M56" s="19"/>
      <c r="N56" s="19"/>
      <c r="O56" s="19"/>
      <c r="P56" s="26"/>
      <c r="Q56" s="26"/>
      <c r="R56" s="117"/>
      <c r="S56" s="19"/>
      <c r="T56" s="19"/>
      <c r="U56" s="19"/>
      <c r="V56" s="19"/>
      <c r="W56" s="19"/>
    </row>
    <row r="57" spans="7:23" x14ac:dyDescent="0.25">
      <c r="G57" s="26"/>
      <c r="H57" s="26"/>
      <c r="I57" s="117"/>
      <c r="J57" s="19"/>
      <c r="K57" s="19"/>
      <c r="L57" s="19"/>
      <c r="M57" s="19"/>
      <c r="N57" s="19"/>
      <c r="O57" s="19"/>
      <c r="P57" s="26"/>
      <c r="Q57" s="26"/>
      <c r="R57" s="117"/>
      <c r="S57" s="19"/>
      <c r="T57" s="19"/>
      <c r="U57" s="19"/>
      <c r="V57" s="19"/>
      <c r="W57" s="19"/>
    </row>
    <row r="58" spans="7:23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7:23" x14ac:dyDescent="0.25">
      <c r="G59" s="26"/>
      <c r="H59" s="26"/>
      <c r="I59" s="26"/>
      <c r="J59" s="19"/>
      <c r="K59" s="19"/>
      <c r="L59" s="19"/>
      <c r="M59" s="19"/>
      <c r="N59" s="19"/>
      <c r="O59" s="19"/>
      <c r="P59" s="26"/>
      <c r="Q59" s="26"/>
      <c r="R59" s="26"/>
      <c r="S59" s="19"/>
      <c r="T59" s="19"/>
      <c r="U59" s="19"/>
      <c r="V59" s="19"/>
      <c r="W59" s="19"/>
    </row>
    <row r="60" spans="7:23" x14ac:dyDescent="0.25">
      <c r="G60" s="112"/>
      <c r="H60" s="112"/>
      <c r="I60" s="112"/>
      <c r="J60" s="19"/>
      <c r="K60" s="19"/>
      <c r="L60" s="19"/>
      <c r="M60" s="19"/>
      <c r="N60" s="19"/>
      <c r="O60" s="19"/>
      <c r="P60" s="112"/>
      <c r="Q60" s="112"/>
      <c r="R60" s="112"/>
      <c r="S60" s="19"/>
      <c r="T60" s="19"/>
      <c r="U60" s="19"/>
      <c r="V60" s="19"/>
      <c r="W60" s="19"/>
    </row>
    <row r="61" spans="7:23" x14ac:dyDescent="0.25">
      <c r="G61" s="112"/>
      <c r="H61" s="112"/>
      <c r="I61" s="117"/>
      <c r="J61" s="19"/>
      <c r="K61" s="19"/>
      <c r="L61" s="19"/>
      <c r="M61" s="19"/>
      <c r="N61" s="19"/>
      <c r="O61" s="19"/>
      <c r="P61" s="112"/>
      <c r="Q61" s="112"/>
      <c r="R61" s="117"/>
      <c r="S61" s="19"/>
      <c r="T61" s="19"/>
      <c r="U61" s="19"/>
      <c r="V61" s="19"/>
      <c r="W61" s="19"/>
    </row>
    <row r="62" spans="7:23" x14ac:dyDescent="0.25">
      <c r="G62" s="112"/>
      <c r="H62" s="112"/>
      <c r="I62" s="117"/>
      <c r="J62" s="19"/>
      <c r="K62" s="19"/>
      <c r="L62" s="19"/>
      <c r="M62" s="19"/>
      <c r="N62" s="19"/>
      <c r="O62" s="19"/>
      <c r="P62" s="112"/>
      <c r="Q62" s="112"/>
      <c r="R62" s="117"/>
      <c r="S62" s="19"/>
      <c r="T62" s="19"/>
      <c r="U62" s="19"/>
      <c r="V62" s="19"/>
      <c r="W62" s="19"/>
    </row>
    <row r="63" spans="7:23" x14ac:dyDescent="0.25">
      <c r="G63" s="26"/>
      <c r="H63" s="26"/>
      <c r="I63" s="117"/>
      <c r="J63" s="19"/>
      <c r="K63" s="19"/>
      <c r="L63" s="19"/>
      <c r="M63" s="19"/>
      <c r="N63" s="19"/>
      <c r="O63" s="19"/>
      <c r="P63" s="26"/>
      <c r="Q63" s="26"/>
      <c r="R63" s="117"/>
      <c r="S63" s="19"/>
      <c r="T63" s="19"/>
      <c r="U63" s="19"/>
      <c r="V63" s="19"/>
      <c r="W63" s="19"/>
    </row>
    <row r="64" spans="7:23" x14ac:dyDescent="0.25">
      <c r="G64" s="26"/>
      <c r="H64" s="26"/>
      <c r="I64" s="117"/>
      <c r="J64" s="19"/>
      <c r="K64" s="19"/>
      <c r="L64" s="19"/>
      <c r="M64" s="19"/>
      <c r="N64" s="19"/>
      <c r="O64" s="19"/>
      <c r="P64" s="26"/>
      <c r="Q64" s="26"/>
      <c r="R64" s="117"/>
      <c r="S64" s="19"/>
      <c r="T64" s="19"/>
      <c r="U64" s="19"/>
      <c r="V64" s="19"/>
      <c r="W64" s="19"/>
    </row>
    <row r="65" spans="7:23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7:23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</sheetData>
  <mergeCells count="10">
    <mergeCell ref="B8:E8"/>
    <mergeCell ref="B15:E15"/>
    <mergeCell ref="B22:E22"/>
    <mergeCell ref="B29:E29"/>
    <mergeCell ref="A6:G7"/>
    <mergeCell ref="A1:G1"/>
    <mergeCell ref="B2:G2"/>
    <mergeCell ref="B3:G3"/>
    <mergeCell ref="B4:G4"/>
    <mergeCell ref="B5:G5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>
    <tabColor theme="3" tint="-0.249977111117893"/>
    <pageSetUpPr fitToPage="1"/>
  </sheetPr>
  <dimension ref="A1:G86"/>
  <sheetViews>
    <sheetView tabSelected="1" view="pageBreakPreview" zoomScale="96" zoomScaleNormal="100" zoomScaleSheetLayoutView="96" workbookViewId="0">
      <selection activeCell="O29" sqref="O29"/>
    </sheetView>
  </sheetViews>
  <sheetFormatPr defaultRowHeight="15" x14ac:dyDescent="0.25"/>
  <cols>
    <col min="2" max="2" width="48.28515625" bestFit="1" customWidth="1"/>
    <col min="3" max="3" width="10.85546875" style="48" customWidth="1"/>
    <col min="4" max="4" width="12" customWidth="1"/>
    <col min="5" max="5" width="20.42578125" style="48" customWidth="1"/>
    <col min="6" max="6" width="17.5703125" customWidth="1"/>
  </cols>
  <sheetData>
    <row r="1" spans="1:7" ht="56.25" customHeight="1" x14ac:dyDescent="0.25">
      <c r="A1" s="728" t="s">
        <v>390</v>
      </c>
      <c r="B1" s="729"/>
      <c r="C1" s="729"/>
      <c r="D1" s="729"/>
      <c r="E1" s="729"/>
      <c r="F1" s="729"/>
      <c r="G1" s="730"/>
    </row>
    <row r="2" spans="1:7" x14ac:dyDescent="0.25">
      <c r="A2" s="31" t="s">
        <v>12</v>
      </c>
      <c r="B2" s="732" t="str">
        <f>'PLANILHA ORÇAMENTARIA'!B2:E2</f>
        <v>ESCOLA MUNICIPAL DOMINGOS AZZONLINI</v>
      </c>
      <c r="C2" s="733"/>
      <c r="D2" s="733"/>
      <c r="E2" s="733"/>
      <c r="F2" s="733"/>
      <c r="G2" s="734"/>
    </row>
    <row r="3" spans="1:7" x14ac:dyDescent="0.25">
      <c r="A3" s="31" t="s">
        <v>13</v>
      </c>
      <c r="B3" s="732" t="str">
        <f>'PLANILHA ORÇAMENTARIA'!B3:E3</f>
        <v>SANTO ANTÔNIO DO LESTE - MT</v>
      </c>
      <c r="C3" s="733"/>
      <c r="D3" s="733"/>
      <c r="E3" s="733"/>
      <c r="F3" s="733"/>
      <c r="G3" s="734"/>
    </row>
    <row r="4" spans="1:7" x14ac:dyDescent="0.25">
      <c r="A4" s="31" t="s">
        <v>14</v>
      </c>
      <c r="B4" s="732" t="str">
        <f>'PLANILHA ORÇAMENTARIA'!B4:E4</f>
        <v>PREFEITURA MUNICIPAL DE SANTO ANTÔNIO DO LESTE - MT</v>
      </c>
      <c r="C4" s="733"/>
      <c r="D4" s="733"/>
      <c r="E4" s="733"/>
      <c r="F4" s="733"/>
      <c r="G4" s="734"/>
    </row>
    <row r="5" spans="1:7" ht="15.75" thickBot="1" x14ac:dyDescent="0.3">
      <c r="A5" s="276" t="s">
        <v>15</v>
      </c>
      <c r="B5" s="735">
        <f>'PLANILHA ORÇAMENTARIA'!B5:E5</f>
        <v>44810</v>
      </c>
      <c r="C5" s="736"/>
      <c r="D5" s="736"/>
      <c r="E5" s="736"/>
      <c r="F5" s="736"/>
      <c r="G5" s="737"/>
    </row>
    <row r="6" spans="1:7" ht="15" customHeight="1" x14ac:dyDescent="0.25">
      <c r="A6" s="532" t="s">
        <v>307</v>
      </c>
      <c r="B6" s="533"/>
      <c r="C6" s="533"/>
      <c r="D6" s="533"/>
      <c r="E6" s="533"/>
      <c r="F6" s="533"/>
      <c r="G6" s="534"/>
    </row>
    <row r="7" spans="1:7" ht="15" customHeight="1" thickBot="1" x14ac:dyDescent="0.3">
      <c r="A7" s="569"/>
      <c r="B7" s="570"/>
      <c r="C7" s="570"/>
      <c r="D7" s="570"/>
      <c r="E7" s="570"/>
      <c r="F7" s="570"/>
      <c r="G7" s="571"/>
    </row>
    <row r="8" spans="1:7" x14ac:dyDescent="0.25">
      <c r="A8" s="125"/>
      <c r="B8" s="726" t="s">
        <v>229</v>
      </c>
      <c r="C8" s="731"/>
      <c r="D8" s="731"/>
      <c r="E8" s="731"/>
      <c r="F8" s="727"/>
      <c r="G8" s="125"/>
    </row>
    <row r="9" spans="1:7" x14ac:dyDescent="0.25">
      <c r="A9" s="125"/>
      <c r="B9" s="187" t="s">
        <v>222</v>
      </c>
      <c r="C9" s="53" t="s">
        <v>230</v>
      </c>
      <c r="D9" s="53" t="s">
        <v>231</v>
      </c>
      <c r="E9" s="53" t="s">
        <v>232</v>
      </c>
      <c r="F9" s="165" t="s">
        <v>233</v>
      </c>
      <c r="G9" s="125"/>
    </row>
    <row r="10" spans="1:7" x14ac:dyDescent="0.25">
      <c r="A10" s="125"/>
      <c r="B10" s="738" t="s">
        <v>234</v>
      </c>
      <c r="C10" s="4">
        <v>13.87</v>
      </c>
      <c r="D10" s="54">
        <v>19.440000000000001</v>
      </c>
      <c r="E10" s="54">
        <v>33.93</v>
      </c>
      <c r="F10" s="85">
        <v>38.82</v>
      </c>
      <c r="G10" s="125"/>
    </row>
    <row r="11" spans="1:7" x14ac:dyDescent="0.25">
      <c r="A11" s="125"/>
      <c r="B11" s="738"/>
      <c r="C11" s="4" t="s">
        <v>144</v>
      </c>
      <c r="D11" s="54" t="s">
        <v>144</v>
      </c>
      <c r="E11" s="54" t="s">
        <v>144</v>
      </c>
      <c r="F11" s="85" t="s">
        <v>144</v>
      </c>
      <c r="G11" s="125"/>
    </row>
    <row r="12" spans="1:7" x14ac:dyDescent="0.25">
      <c r="A12" s="125"/>
      <c r="B12" s="738"/>
      <c r="C12" s="4" t="s">
        <v>144</v>
      </c>
      <c r="D12" s="54" t="s">
        <v>144</v>
      </c>
      <c r="E12" s="54" t="s">
        <v>144</v>
      </c>
      <c r="F12" s="85" t="s">
        <v>144</v>
      </c>
      <c r="G12" s="125"/>
    </row>
    <row r="13" spans="1:7" x14ac:dyDescent="0.25">
      <c r="A13" s="125"/>
      <c r="B13" s="739" t="s">
        <v>425</v>
      </c>
      <c r="C13" s="4">
        <v>152.57</v>
      </c>
      <c r="D13" s="54">
        <v>18.86</v>
      </c>
      <c r="E13" s="4">
        <v>74.989999999999995</v>
      </c>
      <c r="F13" s="85">
        <v>2610.0100000000002</v>
      </c>
      <c r="G13" s="125"/>
    </row>
    <row r="14" spans="1:7" x14ac:dyDescent="0.25">
      <c r="A14" s="125"/>
      <c r="B14" s="740"/>
      <c r="C14" s="4">
        <f>15.76*2</f>
        <v>31.52</v>
      </c>
      <c r="D14" s="54">
        <f>9.2*2</f>
        <v>18.399999999999999</v>
      </c>
      <c r="E14" s="4">
        <v>374.31</v>
      </c>
      <c r="F14" s="85" t="s">
        <v>144</v>
      </c>
      <c r="G14" s="125"/>
    </row>
    <row r="15" spans="1:7" x14ac:dyDescent="0.25">
      <c r="A15" s="125"/>
      <c r="B15" s="740"/>
      <c r="C15" s="29">
        <f>6.72*2</f>
        <v>13.44</v>
      </c>
      <c r="D15" s="54">
        <f>8.25*2</f>
        <v>16.5</v>
      </c>
      <c r="E15" s="4">
        <v>141.6</v>
      </c>
      <c r="F15" s="85" t="s">
        <v>144</v>
      </c>
      <c r="G15" s="125"/>
    </row>
    <row r="16" spans="1:7" x14ac:dyDescent="0.25">
      <c r="A16" s="125"/>
      <c r="B16" s="740"/>
      <c r="C16" s="29">
        <v>102.66</v>
      </c>
      <c r="D16" s="54">
        <v>6.2</v>
      </c>
      <c r="E16" s="4" t="s">
        <v>144</v>
      </c>
      <c r="F16" s="85" t="s">
        <v>144</v>
      </c>
      <c r="G16" s="125"/>
    </row>
    <row r="17" spans="1:7" x14ac:dyDescent="0.25">
      <c r="A17" s="125"/>
      <c r="B17" s="740"/>
      <c r="C17" s="29">
        <f>6.76*2</f>
        <v>13.52</v>
      </c>
      <c r="D17" s="54">
        <f>8.2*2</f>
        <v>16.399999999999999</v>
      </c>
      <c r="E17" s="4" t="s">
        <v>144</v>
      </c>
      <c r="F17" s="85" t="s">
        <v>144</v>
      </c>
      <c r="G17" s="125"/>
    </row>
    <row r="18" spans="1:7" x14ac:dyDescent="0.25">
      <c r="A18" s="125"/>
      <c r="B18" s="740"/>
      <c r="C18" s="29">
        <v>99.97</v>
      </c>
      <c r="D18" s="54">
        <v>37.4</v>
      </c>
      <c r="E18" s="4" t="s">
        <v>144</v>
      </c>
      <c r="F18" s="85" t="s">
        <v>144</v>
      </c>
      <c r="G18" s="125"/>
    </row>
    <row r="19" spans="1:7" x14ac:dyDescent="0.25">
      <c r="A19" s="125"/>
      <c r="B19" s="740"/>
      <c r="C19" s="29">
        <f>7.49*2</f>
        <v>14.98</v>
      </c>
      <c r="D19" s="54" t="s">
        <v>144</v>
      </c>
      <c r="E19" s="4" t="s">
        <v>144</v>
      </c>
      <c r="F19" s="85" t="s">
        <v>144</v>
      </c>
      <c r="G19" s="125"/>
    </row>
    <row r="20" spans="1:7" x14ac:dyDescent="0.25">
      <c r="A20" s="125"/>
      <c r="B20" s="740"/>
      <c r="C20" s="29">
        <f>6.09*2</f>
        <v>12.18</v>
      </c>
      <c r="D20" s="54" t="s">
        <v>144</v>
      </c>
      <c r="E20" s="4" t="s">
        <v>144</v>
      </c>
      <c r="F20" s="85" t="s">
        <v>144</v>
      </c>
      <c r="G20" s="125"/>
    </row>
    <row r="21" spans="1:7" x14ac:dyDescent="0.25">
      <c r="A21" s="125"/>
      <c r="B21" s="740"/>
      <c r="C21" s="324">
        <f>7.42*2</f>
        <v>14.84</v>
      </c>
      <c r="D21" s="54" t="s">
        <v>144</v>
      </c>
      <c r="E21" s="4" t="s">
        <v>144</v>
      </c>
      <c r="F21" s="85" t="s">
        <v>144</v>
      </c>
      <c r="G21" s="125"/>
    </row>
    <row r="22" spans="1:7" x14ac:dyDescent="0.25">
      <c r="A22" s="125"/>
      <c r="B22" s="740"/>
      <c r="C22" s="324">
        <f>8.56*2</f>
        <v>17.12</v>
      </c>
      <c r="D22" s="54" t="s">
        <v>144</v>
      </c>
      <c r="E22" s="4" t="s">
        <v>144</v>
      </c>
      <c r="F22" s="85" t="s">
        <v>144</v>
      </c>
      <c r="G22" s="125"/>
    </row>
    <row r="23" spans="1:7" x14ac:dyDescent="0.25">
      <c r="A23" s="125"/>
      <c r="B23" s="740"/>
      <c r="C23" s="324">
        <v>30.31</v>
      </c>
      <c r="D23" s="54" t="s">
        <v>144</v>
      </c>
      <c r="E23" s="4" t="s">
        <v>144</v>
      </c>
      <c r="F23" s="85" t="s">
        <v>144</v>
      </c>
      <c r="G23" s="125"/>
    </row>
    <row r="24" spans="1:7" x14ac:dyDescent="0.25">
      <c r="A24" s="125"/>
      <c r="B24" s="740"/>
      <c r="C24" s="29">
        <v>6.53</v>
      </c>
      <c r="D24" s="54" t="s">
        <v>144</v>
      </c>
      <c r="E24" s="4" t="s">
        <v>144</v>
      </c>
      <c r="F24" s="85" t="s">
        <v>144</v>
      </c>
      <c r="G24" s="125"/>
    </row>
    <row r="25" spans="1:7" x14ac:dyDescent="0.25">
      <c r="A25" s="125"/>
      <c r="B25" s="741"/>
      <c r="C25" s="29">
        <v>7.75</v>
      </c>
      <c r="D25" s="54" t="s">
        <v>144</v>
      </c>
      <c r="E25" s="4" t="s">
        <v>144</v>
      </c>
      <c r="F25" s="85" t="s">
        <v>144</v>
      </c>
      <c r="G25" s="125"/>
    </row>
    <row r="26" spans="1:7" ht="15.75" thickBot="1" x14ac:dyDescent="0.3">
      <c r="A26" s="125"/>
      <c r="B26" s="277" t="s">
        <v>235</v>
      </c>
      <c r="C26" s="353">
        <f>SUM(C10:C24)</f>
        <v>523.50999999999988</v>
      </c>
      <c r="D26" s="353">
        <f>SUM(D10:D16)</f>
        <v>79.399999999999991</v>
      </c>
      <c r="E26" s="353">
        <f>SUM(E10:E16)</f>
        <v>624.83000000000004</v>
      </c>
      <c r="F26" s="124">
        <f>SUM(F10:F16)</f>
        <v>2648.8300000000004</v>
      </c>
      <c r="G26" s="125"/>
    </row>
    <row r="27" spans="1:7" ht="15.75" thickBot="1" x14ac:dyDescent="0.3">
      <c r="A27" s="125"/>
      <c r="C27" s="177"/>
      <c r="E27" s="177"/>
      <c r="G27" s="125"/>
    </row>
    <row r="28" spans="1:7" x14ac:dyDescent="0.25">
      <c r="A28" s="125"/>
      <c r="B28" s="726" t="s">
        <v>237</v>
      </c>
      <c r="C28" s="727"/>
      <c r="E28" s="177"/>
      <c r="G28" s="125"/>
    </row>
    <row r="29" spans="1:7" x14ac:dyDescent="0.25">
      <c r="A29" s="125"/>
      <c r="B29" s="351" t="s">
        <v>222</v>
      </c>
      <c r="C29" s="352" t="s">
        <v>223</v>
      </c>
      <c r="E29" s="177"/>
      <c r="G29" s="125"/>
    </row>
    <row r="30" spans="1:7" x14ac:dyDescent="0.25">
      <c r="A30" s="125"/>
      <c r="B30" s="114" t="s">
        <v>449</v>
      </c>
      <c r="C30" s="72">
        <v>46.2</v>
      </c>
      <c r="E30" s="177"/>
      <c r="G30" s="125"/>
    </row>
    <row r="31" spans="1:7" x14ac:dyDescent="0.25">
      <c r="A31" s="125"/>
      <c r="B31" s="114" t="s">
        <v>449</v>
      </c>
      <c r="C31" s="72">
        <v>46.2</v>
      </c>
      <c r="E31" s="177"/>
      <c r="G31" s="125"/>
    </row>
    <row r="32" spans="1:7" x14ac:dyDescent="0.25">
      <c r="A32" s="125"/>
      <c r="B32" s="114" t="s">
        <v>449</v>
      </c>
      <c r="C32" s="72">
        <v>38.5</v>
      </c>
      <c r="E32" s="177"/>
      <c r="G32" s="125"/>
    </row>
    <row r="33" spans="2:5" x14ac:dyDescent="0.25">
      <c r="B33" s="114" t="s">
        <v>450</v>
      </c>
      <c r="C33" s="72">
        <v>46.58</v>
      </c>
      <c r="E33" s="177"/>
    </row>
    <row r="34" spans="2:5" x14ac:dyDescent="0.25">
      <c r="B34" s="114" t="s">
        <v>449</v>
      </c>
      <c r="C34" s="72">
        <v>46.58</v>
      </c>
      <c r="E34" s="177"/>
    </row>
    <row r="35" spans="2:5" x14ac:dyDescent="0.25">
      <c r="B35" s="114" t="s">
        <v>449</v>
      </c>
      <c r="C35" s="72">
        <v>46.58</v>
      </c>
      <c r="E35" s="177"/>
    </row>
    <row r="36" spans="2:5" x14ac:dyDescent="0.25">
      <c r="B36" s="114" t="s">
        <v>449</v>
      </c>
      <c r="C36" s="72">
        <v>46.2</v>
      </c>
      <c r="E36" s="177"/>
    </row>
    <row r="37" spans="2:5" x14ac:dyDescent="0.25">
      <c r="B37" s="282" t="s">
        <v>449</v>
      </c>
      <c r="C37" s="72">
        <v>46.2</v>
      </c>
      <c r="E37" s="177"/>
    </row>
    <row r="38" spans="2:5" x14ac:dyDescent="0.25">
      <c r="B38" s="282" t="s">
        <v>449</v>
      </c>
      <c r="C38" s="72">
        <v>46.58</v>
      </c>
      <c r="E38" s="177"/>
    </row>
    <row r="39" spans="2:5" x14ac:dyDescent="0.25">
      <c r="B39" s="282" t="s">
        <v>449</v>
      </c>
      <c r="C39" s="72">
        <v>46.58</v>
      </c>
      <c r="E39" s="177"/>
    </row>
    <row r="40" spans="2:5" x14ac:dyDescent="0.25">
      <c r="B40" s="282" t="s">
        <v>449</v>
      </c>
      <c r="C40" s="72">
        <v>46.58</v>
      </c>
      <c r="E40" s="177"/>
    </row>
    <row r="41" spans="2:5" x14ac:dyDescent="0.25">
      <c r="B41" s="282" t="s">
        <v>449</v>
      </c>
      <c r="C41" s="72">
        <v>46.2</v>
      </c>
      <c r="E41" s="177"/>
    </row>
    <row r="42" spans="2:5" x14ac:dyDescent="0.25">
      <c r="B42" s="282" t="s">
        <v>449</v>
      </c>
      <c r="C42" s="72">
        <v>36.5</v>
      </c>
      <c r="E42" s="177"/>
    </row>
    <row r="43" spans="2:5" x14ac:dyDescent="0.25">
      <c r="B43" s="282" t="s">
        <v>449</v>
      </c>
      <c r="C43" s="72">
        <v>42.13</v>
      </c>
      <c r="E43" s="177"/>
    </row>
    <row r="44" spans="2:5" x14ac:dyDescent="0.25">
      <c r="B44" s="282" t="s">
        <v>449</v>
      </c>
      <c r="C44" s="72">
        <v>46.2</v>
      </c>
      <c r="E44" s="177"/>
    </row>
    <row r="45" spans="2:5" x14ac:dyDescent="0.25">
      <c r="B45" s="282" t="s">
        <v>451</v>
      </c>
      <c r="C45" s="72">
        <v>40.81</v>
      </c>
      <c r="E45" s="177"/>
    </row>
    <row r="46" spans="2:5" x14ac:dyDescent="0.25">
      <c r="B46" s="282" t="s">
        <v>414</v>
      </c>
      <c r="C46" s="72">
        <v>77</v>
      </c>
      <c r="E46" s="177"/>
    </row>
    <row r="47" spans="2:5" x14ac:dyDescent="0.25">
      <c r="B47" s="282" t="s">
        <v>367</v>
      </c>
      <c r="C47" s="72">
        <v>61.6</v>
      </c>
      <c r="E47" s="177"/>
    </row>
    <row r="48" spans="2:5" x14ac:dyDescent="0.25">
      <c r="B48" s="282" t="s">
        <v>368</v>
      </c>
      <c r="C48" s="72">
        <v>37.340000000000003</v>
      </c>
      <c r="E48" s="177"/>
    </row>
    <row r="49" spans="2:5" x14ac:dyDescent="0.25">
      <c r="B49" s="282" t="s">
        <v>413</v>
      </c>
      <c r="C49" s="72">
        <v>17.510000000000002</v>
      </c>
      <c r="E49" s="177"/>
    </row>
    <row r="50" spans="2:5" x14ac:dyDescent="0.25">
      <c r="B50" s="282" t="s">
        <v>452</v>
      </c>
      <c r="C50" s="72">
        <v>8.3699999999999992</v>
      </c>
      <c r="E50" s="177"/>
    </row>
    <row r="51" spans="2:5" x14ac:dyDescent="0.25">
      <c r="B51" s="282" t="s">
        <v>411</v>
      </c>
      <c r="C51" s="72">
        <v>20.079999999999998</v>
      </c>
      <c r="E51" s="177"/>
    </row>
    <row r="52" spans="2:5" x14ac:dyDescent="0.25">
      <c r="B52" s="282" t="s">
        <v>362</v>
      </c>
      <c r="C52" s="72">
        <v>2.7</v>
      </c>
      <c r="E52" s="177"/>
    </row>
    <row r="53" spans="2:5" x14ac:dyDescent="0.25">
      <c r="B53" s="282" t="s">
        <v>362</v>
      </c>
      <c r="C53" s="72">
        <v>2.7</v>
      </c>
      <c r="E53" s="177"/>
    </row>
    <row r="54" spans="2:5" x14ac:dyDescent="0.25">
      <c r="B54" s="282" t="s">
        <v>410</v>
      </c>
      <c r="C54" s="72">
        <v>4.08</v>
      </c>
      <c r="E54" s="177"/>
    </row>
    <row r="55" spans="2:5" x14ac:dyDescent="0.25">
      <c r="B55" s="282" t="s">
        <v>409</v>
      </c>
      <c r="C55" s="72">
        <v>14.33</v>
      </c>
      <c r="E55" s="177"/>
    </row>
    <row r="56" spans="2:5" x14ac:dyDescent="0.25">
      <c r="B56" s="282" t="s">
        <v>409</v>
      </c>
      <c r="C56" s="72">
        <v>7.98</v>
      </c>
      <c r="E56" s="177"/>
    </row>
    <row r="57" spans="2:5" x14ac:dyDescent="0.25">
      <c r="B57" s="282" t="s">
        <v>352</v>
      </c>
      <c r="C57" s="72">
        <v>46.2</v>
      </c>
      <c r="E57" s="177"/>
    </row>
    <row r="58" spans="2:5" x14ac:dyDescent="0.25">
      <c r="B58" s="282" t="s">
        <v>408</v>
      </c>
      <c r="C58" s="72">
        <v>17.57</v>
      </c>
      <c r="E58" s="177"/>
    </row>
    <row r="59" spans="2:5" x14ac:dyDescent="0.25">
      <c r="B59" s="282" t="s">
        <v>353</v>
      </c>
      <c r="C59" s="72">
        <v>46.2</v>
      </c>
      <c r="E59" s="177"/>
    </row>
    <row r="60" spans="2:5" x14ac:dyDescent="0.25">
      <c r="B60" s="282" t="s">
        <v>410</v>
      </c>
      <c r="C60" s="72">
        <v>4.5999999999999996</v>
      </c>
      <c r="E60" s="177"/>
    </row>
    <row r="61" spans="2:5" x14ac:dyDescent="0.25">
      <c r="B61" s="282" t="s">
        <v>453</v>
      </c>
      <c r="C61" s="72">
        <v>4.22</v>
      </c>
      <c r="E61" s="177"/>
    </row>
    <row r="62" spans="2:5" x14ac:dyDescent="0.25">
      <c r="B62" s="282" t="s">
        <v>454</v>
      </c>
      <c r="C62" s="72">
        <v>3.08</v>
      </c>
      <c r="E62" s="177"/>
    </row>
    <row r="63" spans="2:5" x14ac:dyDescent="0.25">
      <c r="B63" s="283" t="s">
        <v>455</v>
      </c>
      <c r="C63" s="72">
        <v>3.36</v>
      </c>
      <c r="E63" s="177"/>
    </row>
    <row r="64" spans="2:5" x14ac:dyDescent="0.25">
      <c r="B64" s="282" t="s">
        <v>417</v>
      </c>
      <c r="C64" s="72">
        <v>45</v>
      </c>
      <c r="E64" s="177"/>
    </row>
    <row r="65" spans="2:5" x14ac:dyDescent="0.25">
      <c r="B65" s="282" t="s">
        <v>408</v>
      </c>
      <c r="C65" s="72">
        <v>17.52</v>
      </c>
      <c r="E65" s="177"/>
    </row>
    <row r="66" spans="2:5" x14ac:dyDescent="0.25">
      <c r="B66" s="282" t="s">
        <v>456</v>
      </c>
      <c r="C66" s="72">
        <v>110.08</v>
      </c>
      <c r="E66" s="177"/>
    </row>
    <row r="67" spans="2:5" x14ac:dyDescent="0.25">
      <c r="B67" s="282" t="s">
        <v>457</v>
      </c>
      <c r="C67" s="72">
        <v>360.68</v>
      </c>
      <c r="E67" s="177"/>
    </row>
    <row r="68" spans="2:5" x14ac:dyDescent="0.25">
      <c r="B68" s="282" t="s">
        <v>457</v>
      </c>
      <c r="C68" s="72">
        <v>60.35</v>
      </c>
      <c r="E68" s="177"/>
    </row>
    <row r="69" spans="2:5" x14ac:dyDescent="0.25">
      <c r="B69" s="282" t="s">
        <v>458</v>
      </c>
      <c r="C69" s="72">
        <v>42.4</v>
      </c>
      <c r="E69" s="177"/>
    </row>
    <row r="70" spans="2:5" x14ac:dyDescent="0.25">
      <c r="B70" s="282" t="s">
        <v>458</v>
      </c>
      <c r="C70" s="72">
        <v>42.4</v>
      </c>
      <c r="E70" s="177"/>
    </row>
    <row r="71" spans="2:5" x14ac:dyDescent="0.25">
      <c r="B71" s="282" t="s">
        <v>459</v>
      </c>
      <c r="C71" s="72">
        <v>68.09</v>
      </c>
      <c r="E71" s="177"/>
    </row>
    <row r="72" spans="2:5" x14ac:dyDescent="0.25">
      <c r="B72" s="282" t="s">
        <v>460</v>
      </c>
      <c r="C72" s="72">
        <v>79.63</v>
      </c>
      <c r="E72" s="177"/>
    </row>
    <row r="73" spans="2:5" x14ac:dyDescent="0.25">
      <c r="B73" s="282" t="s">
        <v>461</v>
      </c>
      <c r="C73" s="72">
        <v>17.07</v>
      </c>
      <c r="E73" s="177"/>
    </row>
    <row r="74" spans="2:5" x14ac:dyDescent="0.25">
      <c r="B74" s="282" t="s">
        <v>462</v>
      </c>
      <c r="C74" s="72">
        <v>17.07</v>
      </c>
      <c r="E74" s="177"/>
    </row>
    <row r="75" spans="2:5" x14ac:dyDescent="0.25">
      <c r="B75" s="282" t="s">
        <v>362</v>
      </c>
      <c r="C75" s="72">
        <v>4.33</v>
      </c>
      <c r="E75" s="177"/>
    </row>
    <row r="76" spans="2:5" x14ac:dyDescent="0.25">
      <c r="B76" s="282" t="s">
        <v>238</v>
      </c>
      <c r="C76" s="72">
        <v>61.15</v>
      </c>
      <c r="E76" s="177"/>
    </row>
    <row r="77" spans="2:5" x14ac:dyDescent="0.25">
      <c r="B77" s="282" t="s">
        <v>423</v>
      </c>
      <c r="C77" s="72">
        <v>20.96</v>
      </c>
      <c r="E77" s="177"/>
    </row>
    <row r="78" spans="2:5" x14ac:dyDescent="0.25">
      <c r="B78" s="282" t="s">
        <v>463</v>
      </c>
      <c r="C78" s="72">
        <v>8.85</v>
      </c>
      <c r="E78" s="177"/>
    </row>
    <row r="79" spans="2:5" x14ac:dyDescent="0.25">
      <c r="B79" s="282" t="s">
        <v>463</v>
      </c>
      <c r="C79" s="72">
        <v>16.47</v>
      </c>
      <c r="E79" s="177"/>
    </row>
    <row r="80" spans="2:5" x14ac:dyDescent="0.25">
      <c r="B80" s="282" t="s">
        <v>463</v>
      </c>
      <c r="C80" s="72">
        <v>6.87</v>
      </c>
      <c r="E80" s="177"/>
    </row>
    <row r="81" spans="2:5" x14ac:dyDescent="0.25">
      <c r="B81" s="282" t="s">
        <v>463</v>
      </c>
      <c r="C81" s="72">
        <v>6.89</v>
      </c>
      <c r="E81" s="177"/>
    </row>
    <row r="82" spans="2:5" x14ac:dyDescent="0.25">
      <c r="B82" s="282" t="s">
        <v>460</v>
      </c>
      <c r="C82" s="72">
        <v>79.64</v>
      </c>
      <c r="E82" s="177"/>
    </row>
    <row r="83" spans="2:5" x14ac:dyDescent="0.25">
      <c r="B83" s="282" t="s">
        <v>457</v>
      </c>
      <c r="C83" s="72">
        <v>40</v>
      </c>
      <c r="E83" s="177"/>
    </row>
    <row r="84" spans="2:5" ht="15.75" thickBot="1" x14ac:dyDescent="0.3">
      <c r="B84" s="277" t="s">
        <v>235</v>
      </c>
      <c r="C84" s="124">
        <f>SUM(C30:C83)</f>
        <v>2198.9899999999993</v>
      </c>
      <c r="E84" s="177"/>
    </row>
    <row r="85" spans="2:5" x14ac:dyDescent="0.25">
      <c r="C85" s="177"/>
      <c r="E85" s="177"/>
    </row>
    <row r="86" spans="2:5" x14ac:dyDescent="0.25">
      <c r="C86" s="177"/>
      <c r="E86" s="177"/>
    </row>
  </sheetData>
  <mergeCells count="10">
    <mergeCell ref="B28:C28"/>
    <mergeCell ref="A1:G1"/>
    <mergeCell ref="B8:F8"/>
    <mergeCell ref="A6:G7"/>
    <mergeCell ref="B2:G2"/>
    <mergeCell ref="B3:G3"/>
    <mergeCell ref="B4:G4"/>
    <mergeCell ref="B5:G5"/>
    <mergeCell ref="B10:B12"/>
    <mergeCell ref="B13:B25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72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tabColor theme="3" tint="-0.249977111117893"/>
    <pageSetUpPr fitToPage="1"/>
  </sheetPr>
  <dimension ref="A1:J45"/>
  <sheetViews>
    <sheetView tabSelected="1" view="pageBreakPreview" zoomScaleNormal="100" zoomScaleSheetLayoutView="100" workbookViewId="0">
      <selection activeCell="O29" sqref="O29"/>
    </sheetView>
  </sheetViews>
  <sheetFormatPr defaultRowHeight="15" x14ac:dyDescent="0.25"/>
  <cols>
    <col min="3" max="3" width="12.42578125" customWidth="1"/>
    <col min="4" max="4" width="24.140625" customWidth="1"/>
    <col min="5" max="6" width="13.5703125" customWidth="1"/>
    <col min="7" max="7" width="15.7109375" customWidth="1"/>
    <col min="8" max="8" width="13.28515625" customWidth="1"/>
    <col min="9" max="9" width="21.5703125" customWidth="1"/>
    <col min="10" max="10" width="12.85546875" customWidth="1"/>
  </cols>
  <sheetData>
    <row r="1" spans="1:10" ht="54" customHeight="1" thickBot="1" x14ac:dyDescent="0.3">
      <c r="A1" s="718" t="s">
        <v>386</v>
      </c>
      <c r="B1" s="719"/>
      <c r="C1" s="719"/>
      <c r="D1" s="719"/>
      <c r="E1" s="719"/>
      <c r="F1" s="719"/>
      <c r="G1" s="719"/>
      <c r="H1" s="719"/>
      <c r="I1" s="719"/>
      <c r="J1" s="720"/>
    </row>
    <row r="2" spans="1:10" ht="15.75" thickBot="1" x14ac:dyDescent="0.3">
      <c r="A2" s="143" t="s">
        <v>12</v>
      </c>
      <c r="B2" s="504" t="str">
        <f>'PLANILHA ORÇAMENTARIA'!B2:E2</f>
        <v>ESCOLA MUNICIPAL DOMINGOS AZZONLINI</v>
      </c>
      <c r="C2" s="505"/>
      <c r="D2" s="505"/>
      <c r="E2" s="505"/>
      <c r="F2" s="505"/>
      <c r="G2" s="505"/>
      <c r="H2" s="505"/>
      <c r="I2" s="505"/>
      <c r="J2" s="506"/>
    </row>
    <row r="3" spans="1:10" ht="15.75" thickBot="1" x14ac:dyDescent="0.3">
      <c r="A3" s="144" t="s">
        <v>13</v>
      </c>
      <c r="B3" s="504" t="str">
        <f>'PLANILHA ORÇAMENTARIA'!B3:E3</f>
        <v>SANTO ANTÔNIO DO LESTE - MT</v>
      </c>
      <c r="C3" s="505"/>
      <c r="D3" s="505"/>
      <c r="E3" s="505"/>
      <c r="F3" s="505"/>
      <c r="G3" s="505"/>
      <c r="H3" s="505"/>
      <c r="I3" s="505"/>
      <c r="J3" s="506"/>
    </row>
    <row r="4" spans="1:10" ht="15.75" thickBot="1" x14ac:dyDescent="0.3">
      <c r="A4" s="144" t="s">
        <v>14</v>
      </c>
      <c r="B4" s="504" t="str">
        <f>'PLANILHA ORÇAMENTARIA'!B4:E4</f>
        <v>PREFEITURA MUNICIPAL DE SANTO ANTÔNIO DO LESTE - MT</v>
      </c>
      <c r="C4" s="505"/>
      <c r="D4" s="505"/>
      <c r="E4" s="505"/>
      <c r="F4" s="505"/>
      <c r="G4" s="505"/>
      <c r="H4" s="505"/>
      <c r="I4" s="505"/>
      <c r="J4" s="506"/>
    </row>
    <row r="5" spans="1:10" ht="15.75" thickBot="1" x14ac:dyDescent="0.3">
      <c r="A5" s="164" t="s">
        <v>15</v>
      </c>
      <c r="B5" s="756">
        <f>'PLANILHA ORÇAMENTARIA'!B5:E5</f>
        <v>44810</v>
      </c>
      <c r="C5" s="757"/>
      <c r="D5" s="757"/>
      <c r="E5" s="757"/>
      <c r="F5" s="757"/>
      <c r="G5" s="757"/>
      <c r="H5" s="757"/>
      <c r="I5" s="757"/>
      <c r="J5" s="758"/>
    </row>
    <row r="6" spans="1:10" ht="15" customHeight="1" x14ac:dyDescent="0.25">
      <c r="A6" s="750" t="s">
        <v>398</v>
      </c>
      <c r="B6" s="751"/>
      <c r="C6" s="751"/>
      <c r="D6" s="751"/>
      <c r="E6" s="751"/>
      <c r="F6" s="751"/>
      <c r="G6" s="751"/>
      <c r="H6" s="751"/>
      <c r="I6" s="751"/>
      <c r="J6" s="752"/>
    </row>
    <row r="7" spans="1:10" ht="15" customHeight="1" thickBot="1" x14ac:dyDescent="0.3">
      <c r="A7" s="753"/>
      <c r="B7" s="754"/>
      <c r="C7" s="754"/>
      <c r="D7" s="754"/>
      <c r="E7" s="754"/>
      <c r="F7" s="754"/>
      <c r="G7" s="754"/>
      <c r="H7" s="754"/>
      <c r="I7" s="754"/>
      <c r="J7" s="755"/>
    </row>
    <row r="8" spans="1:10" ht="15" customHeight="1" thickBot="1" x14ac:dyDescent="0.3">
      <c r="A8" s="194"/>
      <c r="B8" s="195"/>
      <c r="C8" s="195"/>
      <c r="D8" s="742" t="s">
        <v>369</v>
      </c>
      <c r="E8" s="743"/>
      <c r="F8" s="743"/>
      <c r="G8" s="744"/>
      <c r="H8" s="196"/>
      <c r="I8" s="196"/>
      <c r="J8" s="197"/>
    </row>
    <row r="9" spans="1:10" x14ac:dyDescent="0.25">
      <c r="A9" s="186"/>
      <c r="B9" s="132"/>
      <c r="C9" s="132"/>
      <c r="D9" s="726" t="s">
        <v>239</v>
      </c>
      <c r="E9" s="731"/>
      <c r="F9" s="731"/>
      <c r="G9" s="727"/>
      <c r="H9" s="19"/>
      <c r="I9" s="19"/>
      <c r="J9" s="90"/>
    </row>
    <row r="10" spans="1:10" x14ac:dyDescent="0.25">
      <c r="A10" s="186"/>
      <c r="B10" s="123"/>
      <c r="C10" s="123"/>
      <c r="D10" s="187" t="s">
        <v>228</v>
      </c>
      <c r="E10" s="53" t="s">
        <v>163</v>
      </c>
      <c r="F10" s="53" t="s">
        <v>165</v>
      </c>
      <c r="G10" s="165" t="s">
        <v>223</v>
      </c>
      <c r="H10" s="19"/>
      <c r="I10" s="19"/>
      <c r="J10" s="90"/>
    </row>
    <row r="11" spans="1:10" x14ac:dyDescent="0.25">
      <c r="A11" s="186"/>
      <c r="B11" s="139"/>
      <c r="C11" s="127"/>
      <c r="D11" s="71">
        <v>7</v>
      </c>
      <c r="E11" s="54">
        <v>0.6</v>
      </c>
      <c r="F11" s="54">
        <v>0.6</v>
      </c>
      <c r="G11" s="72">
        <f>D11*E11*F11</f>
        <v>2.52</v>
      </c>
      <c r="H11" s="19"/>
      <c r="I11" s="19"/>
      <c r="J11" s="90"/>
    </row>
    <row r="12" spans="1:10" x14ac:dyDescent="0.25">
      <c r="A12" s="186"/>
      <c r="B12" s="139"/>
      <c r="C12" s="127"/>
      <c r="D12" s="71">
        <v>3</v>
      </c>
      <c r="E12" s="54">
        <v>1</v>
      </c>
      <c r="F12" s="54">
        <v>1</v>
      </c>
      <c r="G12" s="72">
        <f t="shared" ref="G12:G16" si="0">D12*E12*F12</f>
        <v>3</v>
      </c>
      <c r="H12" s="19"/>
      <c r="I12" s="19"/>
      <c r="J12" s="90"/>
    </row>
    <row r="13" spans="1:10" x14ac:dyDescent="0.25">
      <c r="A13" s="186"/>
      <c r="B13" s="139"/>
      <c r="C13" s="127"/>
      <c r="D13" s="71">
        <v>4</v>
      </c>
      <c r="E13" s="54">
        <v>1.2</v>
      </c>
      <c r="F13" s="54">
        <v>1</v>
      </c>
      <c r="G13" s="72">
        <f t="shared" si="0"/>
        <v>4.8</v>
      </c>
      <c r="H13" s="19"/>
      <c r="I13" s="19"/>
      <c r="J13" s="90"/>
    </row>
    <row r="14" spans="1:10" x14ac:dyDescent="0.25">
      <c r="A14" s="186"/>
      <c r="B14" s="139"/>
      <c r="C14" s="127"/>
      <c r="D14" s="71">
        <v>50</v>
      </c>
      <c r="E14" s="54">
        <v>1.5</v>
      </c>
      <c r="F14" s="54">
        <v>1.1000000000000001</v>
      </c>
      <c r="G14" s="72">
        <f t="shared" si="0"/>
        <v>82.5</v>
      </c>
      <c r="H14" s="19"/>
      <c r="I14" s="19"/>
      <c r="J14" s="90"/>
    </row>
    <row r="15" spans="1:10" x14ac:dyDescent="0.25">
      <c r="A15" s="186"/>
      <c r="B15" s="139"/>
      <c r="C15" s="127"/>
      <c r="D15" s="71">
        <v>16</v>
      </c>
      <c r="E15" s="54">
        <v>2</v>
      </c>
      <c r="F15" s="54">
        <v>1.1000000000000001</v>
      </c>
      <c r="G15" s="72">
        <f t="shared" si="0"/>
        <v>35.200000000000003</v>
      </c>
      <c r="H15" s="19"/>
      <c r="I15" s="19"/>
      <c r="J15" s="90"/>
    </row>
    <row r="16" spans="1:10" x14ac:dyDescent="0.25">
      <c r="A16" s="186"/>
      <c r="B16" s="139"/>
      <c r="C16" s="127"/>
      <c r="D16" s="71">
        <v>1</v>
      </c>
      <c r="E16" s="54">
        <v>2.2000000000000002</v>
      </c>
      <c r="F16" s="54">
        <v>1.1000000000000001</v>
      </c>
      <c r="G16" s="72">
        <f t="shared" si="0"/>
        <v>2.4200000000000004</v>
      </c>
      <c r="H16" s="19"/>
      <c r="I16" s="19"/>
      <c r="J16" s="90"/>
    </row>
    <row r="17" spans="1:10" ht="15.75" thickBot="1" x14ac:dyDescent="0.3">
      <c r="A17" s="186"/>
      <c r="B17" s="132"/>
      <c r="C17" s="132"/>
      <c r="D17" s="745" t="s">
        <v>240</v>
      </c>
      <c r="E17" s="746"/>
      <c r="F17" s="746"/>
      <c r="G17" s="124">
        <f>SUM(G11:G16)</f>
        <v>130.43999999999997</v>
      </c>
      <c r="H17" s="19"/>
      <c r="I17" s="19"/>
      <c r="J17" s="90"/>
    </row>
    <row r="18" spans="1:10" ht="8.25" customHeight="1" thickBot="1" x14ac:dyDescent="0.3">
      <c r="A18" s="186"/>
      <c r="B18" s="125"/>
      <c r="C18" s="125"/>
      <c r="D18" s="19"/>
      <c r="E18" s="19"/>
      <c r="F18" s="19"/>
      <c r="G18" s="19"/>
      <c r="H18" s="19"/>
      <c r="I18" s="19"/>
      <c r="J18" s="90"/>
    </row>
    <row r="19" spans="1:10" x14ac:dyDescent="0.25">
      <c r="A19" s="186"/>
      <c r="B19" s="132"/>
      <c r="C19" s="132"/>
      <c r="D19" s="726" t="s">
        <v>241</v>
      </c>
      <c r="E19" s="731"/>
      <c r="F19" s="731"/>
      <c r="G19" s="727"/>
      <c r="H19" s="19"/>
      <c r="I19" s="19"/>
      <c r="J19" s="90"/>
    </row>
    <row r="20" spans="1:10" ht="15.75" thickBot="1" x14ac:dyDescent="0.3">
      <c r="A20" s="186"/>
      <c r="B20" s="123"/>
      <c r="C20" s="123"/>
      <c r="D20" s="190" t="s">
        <v>228</v>
      </c>
      <c r="E20" s="191" t="s">
        <v>163</v>
      </c>
      <c r="F20" s="191" t="s">
        <v>165</v>
      </c>
      <c r="G20" s="192" t="s">
        <v>223</v>
      </c>
      <c r="H20" s="19"/>
      <c r="I20" s="19"/>
      <c r="J20" s="90"/>
    </row>
    <row r="21" spans="1:10" x14ac:dyDescent="0.25">
      <c r="A21" s="186"/>
      <c r="B21" s="139"/>
      <c r="C21" s="127"/>
      <c r="D21" s="69">
        <v>7</v>
      </c>
      <c r="E21" s="193">
        <v>0.6</v>
      </c>
      <c r="F21" s="193">
        <v>0.6</v>
      </c>
      <c r="G21" s="70">
        <f>D21*E21*F21</f>
        <v>2.52</v>
      </c>
      <c r="H21" s="19"/>
      <c r="I21" s="19"/>
      <c r="J21" s="90"/>
    </row>
    <row r="22" spans="1:10" x14ac:dyDescent="0.25">
      <c r="A22" s="186"/>
      <c r="B22" s="139"/>
      <c r="C22" s="127"/>
      <c r="D22" s="71">
        <v>3</v>
      </c>
      <c r="E22" s="54">
        <v>1</v>
      </c>
      <c r="F22" s="54">
        <v>1</v>
      </c>
      <c r="G22" s="72">
        <f t="shared" ref="G22:G26" si="1">D22*E22*F22</f>
        <v>3</v>
      </c>
      <c r="H22" s="19"/>
      <c r="I22" s="19"/>
      <c r="J22" s="90"/>
    </row>
    <row r="23" spans="1:10" x14ac:dyDescent="0.25">
      <c r="A23" s="186"/>
      <c r="B23" s="139"/>
      <c r="C23" s="127"/>
      <c r="D23" s="71">
        <v>4</v>
      </c>
      <c r="E23" s="54">
        <v>1.2</v>
      </c>
      <c r="F23" s="54">
        <v>1</v>
      </c>
      <c r="G23" s="72">
        <f t="shared" si="1"/>
        <v>4.8</v>
      </c>
      <c r="H23" s="19"/>
      <c r="I23" s="19"/>
      <c r="J23" s="90"/>
    </row>
    <row r="24" spans="1:10" x14ac:dyDescent="0.25">
      <c r="A24" s="186"/>
      <c r="B24" s="132"/>
      <c r="C24" s="132"/>
      <c r="D24" s="71">
        <v>50</v>
      </c>
      <c r="E24" s="54">
        <v>1.5</v>
      </c>
      <c r="F24" s="54">
        <v>1.1000000000000001</v>
      </c>
      <c r="G24" s="72">
        <f t="shared" si="1"/>
        <v>82.5</v>
      </c>
      <c r="H24" s="19"/>
      <c r="I24" s="19"/>
      <c r="J24" s="90"/>
    </row>
    <row r="25" spans="1:10" x14ac:dyDescent="0.25">
      <c r="A25" s="186"/>
      <c r="B25" s="139"/>
      <c r="C25" s="127"/>
      <c r="D25" s="71">
        <v>16</v>
      </c>
      <c r="E25" s="54">
        <v>2</v>
      </c>
      <c r="F25" s="54">
        <v>1.1000000000000001</v>
      </c>
      <c r="G25" s="72">
        <f t="shared" si="1"/>
        <v>35.200000000000003</v>
      </c>
      <c r="H25" s="19"/>
      <c r="I25" s="19"/>
      <c r="J25" s="90"/>
    </row>
    <row r="26" spans="1:10" ht="14.25" customHeight="1" x14ac:dyDescent="0.25">
      <c r="A26" s="186"/>
      <c r="B26" s="139"/>
      <c r="C26" s="127"/>
      <c r="D26" s="71">
        <v>1</v>
      </c>
      <c r="E26" s="54">
        <v>2.2000000000000002</v>
      </c>
      <c r="F26" s="54">
        <v>1.1000000000000001</v>
      </c>
      <c r="G26" s="72">
        <f t="shared" si="1"/>
        <v>2.4200000000000004</v>
      </c>
      <c r="H26" s="19"/>
      <c r="I26" s="19"/>
      <c r="J26" s="90"/>
    </row>
    <row r="27" spans="1:10" ht="13.5" customHeight="1" thickBot="1" x14ac:dyDescent="0.3">
      <c r="A27" s="186"/>
      <c r="B27" s="132"/>
      <c r="C27" s="132"/>
      <c r="D27" s="745" t="s">
        <v>240</v>
      </c>
      <c r="E27" s="746"/>
      <c r="F27" s="746"/>
      <c r="G27" s="124">
        <f>SUM(G21:G26)</f>
        <v>130.43999999999997</v>
      </c>
      <c r="H27" s="19"/>
      <c r="I27" s="19"/>
      <c r="J27" s="90"/>
    </row>
    <row r="28" spans="1:10" ht="6.75" customHeight="1" thickBot="1" x14ac:dyDescent="0.3">
      <c r="A28" s="186"/>
      <c r="B28" s="123"/>
      <c r="C28" s="123"/>
      <c r="D28" s="19"/>
      <c r="E28" s="19"/>
      <c r="F28" s="19"/>
      <c r="G28" s="19"/>
      <c r="H28" s="19"/>
      <c r="I28" s="19"/>
      <c r="J28" s="90"/>
    </row>
    <row r="29" spans="1:10" x14ac:dyDescent="0.25">
      <c r="A29" s="186"/>
      <c r="B29" s="139"/>
      <c r="C29" s="127"/>
      <c r="D29" s="726" t="s">
        <v>242</v>
      </c>
      <c r="E29" s="731"/>
      <c r="F29" s="731"/>
      <c r="G29" s="727"/>
      <c r="H29" s="19"/>
      <c r="I29" s="19"/>
      <c r="J29" s="90"/>
    </row>
    <row r="30" spans="1:10" x14ac:dyDescent="0.25">
      <c r="A30" s="186"/>
      <c r="B30" s="132"/>
      <c r="C30" s="132"/>
      <c r="D30" s="187" t="s">
        <v>228</v>
      </c>
      <c r="E30" s="53" t="s">
        <v>163</v>
      </c>
      <c r="F30" s="53" t="s">
        <v>165</v>
      </c>
      <c r="G30" s="165" t="s">
        <v>223</v>
      </c>
      <c r="H30" s="19"/>
      <c r="I30" s="19"/>
      <c r="J30" s="90"/>
    </row>
    <row r="31" spans="1:10" x14ac:dyDescent="0.25">
      <c r="A31" s="186"/>
      <c r="B31" s="125"/>
      <c r="C31" s="125"/>
      <c r="D31" s="71">
        <v>38</v>
      </c>
      <c r="E31" s="54">
        <v>0.9</v>
      </c>
      <c r="F31" s="54">
        <v>2.1</v>
      </c>
      <c r="G31" s="72">
        <f t="shared" ref="G31:G34" si="2">D31*E31*F31</f>
        <v>71.820000000000007</v>
      </c>
      <c r="H31" s="19"/>
      <c r="I31" s="19"/>
      <c r="J31" s="90"/>
    </row>
    <row r="32" spans="1:10" x14ac:dyDescent="0.25">
      <c r="A32" s="186"/>
      <c r="B32" s="125"/>
      <c r="C32" s="125"/>
      <c r="D32" s="71">
        <v>25</v>
      </c>
      <c r="E32" s="54">
        <v>0.7</v>
      </c>
      <c r="F32" s="54">
        <v>2.1</v>
      </c>
      <c r="G32" s="72">
        <f t="shared" si="2"/>
        <v>36.75</v>
      </c>
      <c r="H32" s="19"/>
      <c r="I32" s="19"/>
      <c r="J32" s="90"/>
    </row>
    <row r="33" spans="1:10" x14ac:dyDescent="0.25">
      <c r="A33" s="186"/>
      <c r="B33" s="125"/>
      <c r="C33" s="125"/>
      <c r="D33" s="71">
        <v>1</v>
      </c>
      <c r="E33" s="54">
        <v>1.4</v>
      </c>
      <c r="F33" s="54">
        <v>2.1</v>
      </c>
      <c r="G33" s="72">
        <f t="shared" si="2"/>
        <v>2.94</v>
      </c>
      <c r="H33" s="19"/>
      <c r="I33" s="19"/>
      <c r="J33" s="90"/>
    </row>
    <row r="34" spans="1:10" x14ac:dyDescent="0.25">
      <c r="A34" s="186"/>
      <c r="B34" s="125"/>
      <c r="C34" s="125"/>
      <c r="D34" s="71">
        <v>2</v>
      </c>
      <c r="E34" s="54">
        <v>3.5</v>
      </c>
      <c r="F34" s="54">
        <v>2.1</v>
      </c>
      <c r="G34" s="72">
        <f t="shared" si="2"/>
        <v>14.700000000000001</v>
      </c>
      <c r="H34" s="19"/>
      <c r="I34" s="19"/>
      <c r="J34" s="90"/>
    </row>
    <row r="35" spans="1:10" ht="15.75" thickBot="1" x14ac:dyDescent="0.3">
      <c r="A35" s="186"/>
      <c r="B35" s="125"/>
      <c r="C35" s="125"/>
      <c r="D35" s="745" t="s">
        <v>240</v>
      </c>
      <c r="E35" s="746"/>
      <c r="F35" s="746"/>
      <c r="G35" s="124">
        <f>SUM(G31:G34)</f>
        <v>126.21000000000001</v>
      </c>
      <c r="H35" s="19"/>
      <c r="I35" s="19"/>
      <c r="J35" s="90"/>
    </row>
    <row r="36" spans="1:10" ht="5.25" customHeight="1" thickBot="1" x14ac:dyDescent="0.3">
      <c r="A36" s="186"/>
      <c r="B36" s="125"/>
      <c r="C36" s="125"/>
      <c r="D36" s="19"/>
      <c r="E36" s="19"/>
      <c r="F36" s="19"/>
      <c r="G36" s="19"/>
      <c r="H36" s="19"/>
      <c r="I36" s="19"/>
      <c r="J36" s="90"/>
    </row>
    <row r="37" spans="1:10" x14ac:dyDescent="0.25">
      <c r="A37" s="2"/>
      <c r="B37" s="19"/>
      <c r="C37" s="19"/>
      <c r="D37" s="747" t="s">
        <v>370</v>
      </c>
      <c r="E37" s="748"/>
      <c r="F37" s="748"/>
      <c r="G37" s="749"/>
      <c r="H37" s="19"/>
      <c r="I37" s="19"/>
      <c r="J37" s="90"/>
    </row>
    <row r="38" spans="1:10" x14ac:dyDescent="0.25">
      <c r="A38" s="2"/>
      <c r="B38" s="19"/>
      <c r="C38" s="19"/>
      <c r="D38" s="187" t="s">
        <v>228</v>
      </c>
      <c r="E38" s="53" t="s">
        <v>163</v>
      </c>
      <c r="F38" s="53" t="s">
        <v>165</v>
      </c>
      <c r="G38" s="165" t="s">
        <v>223</v>
      </c>
      <c r="H38" s="19"/>
      <c r="I38" s="19"/>
      <c r="J38" s="90"/>
    </row>
    <row r="39" spans="1:10" x14ac:dyDescent="0.25">
      <c r="A39" s="2"/>
      <c r="B39" s="132"/>
      <c r="C39" s="132"/>
      <c r="D39" s="71">
        <v>38</v>
      </c>
      <c r="E39" s="54">
        <v>0.9</v>
      </c>
      <c r="F39" s="54">
        <v>2.1</v>
      </c>
      <c r="G39" s="188">
        <f t="shared" ref="G39:G42" si="3">D39*E39*F39</f>
        <v>71.820000000000007</v>
      </c>
      <c r="H39" s="19"/>
      <c r="I39" s="19"/>
      <c r="J39" s="90"/>
    </row>
    <row r="40" spans="1:10" x14ac:dyDescent="0.25">
      <c r="A40" s="2"/>
      <c r="B40" s="132"/>
      <c r="C40" s="132"/>
      <c r="D40" s="71">
        <v>25</v>
      </c>
      <c r="E40" s="54">
        <v>0.7</v>
      </c>
      <c r="F40" s="54">
        <v>2.1</v>
      </c>
      <c r="G40" s="188">
        <f t="shared" si="3"/>
        <v>36.75</v>
      </c>
      <c r="H40" s="19"/>
      <c r="I40" s="19"/>
      <c r="J40" s="90"/>
    </row>
    <row r="41" spans="1:10" x14ac:dyDescent="0.25">
      <c r="A41" s="2"/>
      <c r="B41" s="132"/>
      <c r="C41" s="132"/>
      <c r="D41" s="71">
        <v>1</v>
      </c>
      <c r="E41" s="54">
        <v>1.4</v>
      </c>
      <c r="F41" s="54">
        <v>2.1</v>
      </c>
      <c r="G41" s="188">
        <f t="shared" si="3"/>
        <v>2.94</v>
      </c>
      <c r="H41" s="19"/>
      <c r="I41" s="19"/>
      <c r="J41" s="90"/>
    </row>
    <row r="42" spans="1:10" x14ac:dyDescent="0.25">
      <c r="A42" s="2"/>
      <c r="B42" s="123"/>
      <c r="C42" s="123"/>
      <c r="D42" s="71">
        <v>2</v>
      </c>
      <c r="E42" s="54">
        <v>3.5</v>
      </c>
      <c r="F42" s="54">
        <v>2.1</v>
      </c>
      <c r="G42" s="188">
        <f t="shared" si="3"/>
        <v>14.700000000000001</v>
      </c>
      <c r="H42" s="19"/>
      <c r="I42" s="19"/>
      <c r="J42" s="90"/>
    </row>
    <row r="43" spans="1:10" ht="15.75" thickBot="1" x14ac:dyDescent="0.3">
      <c r="A43" s="168"/>
      <c r="B43" s="166"/>
      <c r="C43" s="167"/>
      <c r="D43" s="683" t="s">
        <v>240</v>
      </c>
      <c r="E43" s="684"/>
      <c r="F43" s="684"/>
      <c r="G43" s="189">
        <f>SUM(G39:G42)</f>
        <v>126.21000000000001</v>
      </c>
      <c r="H43" s="169"/>
      <c r="I43" s="169"/>
      <c r="J43" s="170"/>
    </row>
    <row r="44" spans="1:10" x14ac:dyDescent="0.25">
      <c r="B44" s="139"/>
      <c r="C44" s="127"/>
      <c r="D44" s="127"/>
      <c r="E44" s="127"/>
    </row>
    <row r="45" spans="1:10" x14ac:dyDescent="0.25">
      <c r="B45" s="132"/>
      <c r="C45" s="132"/>
      <c r="D45" s="132"/>
      <c r="E45" s="128"/>
    </row>
  </sheetData>
  <mergeCells count="15">
    <mergeCell ref="A6:J7"/>
    <mergeCell ref="A1:J1"/>
    <mergeCell ref="B2:J2"/>
    <mergeCell ref="B3:J3"/>
    <mergeCell ref="B4:J4"/>
    <mergeCell ref="B5:J5"/>
    <mergeCell ref="D43:F43"/>
    <mergeCell ref="D8:G8"/>
    <mergeCell ref="D19:G19"/>
    <mergeCell ref="D27:F27"/>
    <mergeCell ref="D29:G29"/>
    <mergeCell ref="D35:F35"/>
    <mergeCell ref="D37:G37"/>
    <mergeCell ref="D9:G9"/>
    <mergeCell ref="D17:F17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3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>
    <tabColor theme="3" tint="-0.249977111117893"/>
    <pageSetUpPr fitToPage="1"/>
  </sheetPr>
  <dimension ref="A1:E117"/>
  <sheetViews>
    <sheetView tabSelected="1" view="pageBreakPreview" zoomScale="106" zoomScaleNormal="100" zoomScaleSheetLayoutView="106" workbookViewId="0">
      <selection activeCell="O29" sqref="O29"/>
    </sheetView>
  </sheetViews>
  <sheetFormatPr defaultRowHeight="15" x14ac:dyDescent="0.25"/>
  <cols>
    <col min="2" max="2" width="50.28515625" customWidth="1"/>
    <col min="3" max="3" width="17.140625" customWidth="1"/>
  </cols>
  <sheetData>
    <row r="1" spans="1:5" ht="54" customHeight="1" x14ac:dyDescent="0.25">
      <c r="A1" s="763" t="s">
        <v>386</v>
      </c>
      <c r="B1" s="764"/>
      <c r="C1" s="764"/>
      <c r="D1" s="765"/>
    </row>
    <row r="2" spans="1:5" x14ac:dyDescent="0.25">
      <c r="A2" s="114" t="s">
        <v>12</v>
      </c>
      <c r="B2" s="465" t="str">
        <f>'PLANILHA ORÇAMENTARIA'!B2:E2</f>
        <v>ESCOLA MUNICIPAL DOMINGOS AZZONLINI</v>
      </c>
      <c r="C2" s="465"/>
      <c r="D2" s="466"/>
    </row>
    <row r="3" spans="1:5" x14ac:dyDescent="0.25">
      <c r="A3" s="114" t="s">
        <v>13</v>
      </c>
      <c r="B3" s="465" t="str">
        <f>'PLANILHA ORÇAMENTARIA'!B3:E3</f>
        <v>SANTO ANTÔNIO DO LESTE - MT</v>
      </c>
      <c r="C3" s="465"/>
      <c r="D3" s="466"/>
    </row>
    <row r="4" spans="1:5" x14ac:dyDescent="0.25">
      <c r="A4" s="114" t="s">
        <v>14</v>
      </c>
      <c r="B4" s="465" t="str">
        <f>'PLANILHA ORÇAMENTARIA'!B4:E4</f>
        <v>PREFEITURA MUNICIPAL DE SANTO ANTÔNIO DO LESTE - MT</v>
      </c>
      <c r="C4" s="465"/>
      <c r="D4" s="466"/>
    </row>
    <row r="5" spans="1:5" ht="15.75" thickBot="1" x14ac:dyDescent="0.3">
      <c r="A5" s="163" t="s">
        <v>15</v>
      </c>
      <c r="B5" s="772">
        <f>'PLANILHA ORÇAMENTARIA'!B5:E5</f>
        <v>44810</v>
      </c>
      <c r="C5" s="772"/>
      <c r="D5" s="773"/>
    </row>
    <row r="6" spans="1:5" ht="15" customHeight="1" x14ac:dyDescent="0.25">
      <c r="A6" s="766" t="s">
        <v>308</v>
      </c>
      <c r="B6" s="767"/>
      <c r="C6" s="767"/>
      <c r="D6" s="768"/>
    </row>
    <row r="7" spans="1:5" ht="15" customHeight="1" thickBot="1" x14ac:dyDescent="0.3">
      <c r="A7" s="769"/>
      <c r="B7" s="770"/>
      <c r="C7" s="770"/>
      <c r="D7" s="771"/>
    </row>
    <row r="8" spans="1:5" ht="15.75" thickBot="1" x14ac:dyDescent="0.3">
      <c r="A8" s="19"/>
      <c r="B8" s="759" t="s">
        <v>464</v>
      </c>
      <c r="C8" s="760"/>
      <c r="D8" s="19"/>
      <c r="E8" s="19"/>
    </row>
    <row r="9" spans="1:5" x14ac:dyDescent="0.25">
      <c r="A9" s="19"/>
      <c r="B9" s="278" t="s">
        <v>222</v>
      </c>
      <c r="C9" s="279" t="s">
        <v>223</v>
      </c>
      <c r="D9" s="19"/>
      <c r="E9" s="19"/>
    </row>
    <row r="10" spans="1:5" x14ac:dyDescent="0.25">
      <c r="A10" s="19"/>
      <c r="B10" s="114" t="s">
        <v>465</v>
      </c>
      <c r="C10" s="72">
        <v>1603.96</v>
      </c>
      <c r="D10" s="19"/>
      <c r="E10" s="19"/>
    </row>
    <row r="11" spans="1:5" ht="15.75" thickBot="1" x14ac:dyDescent="0.3">
      <c r="A11" s="19"/>
      <c r="B11" s="277" t="s">
        <v>235</v>
      </c>
      <c r="C11" s="124">
        <f>SUM(C10:C10)</f>
        <v>1603.96</v>
      </c>
      <c r="D11" s="19"/>
      <c r="E11" s="19"/>
    </row>
    <row r="12" spans="1:5" ht="15.75" thickBot="1" x14ac:dyDescent="0.3">
      <c r="A12" s="19"/>
      <c r="D12" s="19"/>
      <c r="E12" s="19"/>
    </row>
    <row r="13" spans="1:5" ht="15.75" thickBot="1" x14ac:dyDescent="0.3">
      <c r="A13" s="19"/>
      <c r="B13" s="759" t="s">
        <v>291</v>
      </c>
      <c r="C13" s="760"/>
      <c r="D13" s="19"/>
      <c r="E13" s="19"/>
    </row>
    <row r="14" spans="1:5" x14ac:dyDescent="0.25">
      <c r="A14" s="19"/>
      <c r="B14" s="280" t="s">
        <v>222</v>
      </c>
      <c r="C14" s="281" t="s">
        <v>223</v>
      </c>
      <c r="D14" s="19"/>
      <c r="E14" s="19"/>
    </row>
    <row r="15" spans="1:5" x14ac:dyDescent="0.25">
      <c r="A15" s="19"/>
      <c r="B15" s="114" t="s">
        <v>449</v>
      </c>
      <c r="C15" s="72">
        <v>46.2</v>
      </c>
      <c r="D15" s="19"/>
      <c r="E15" s="19"/>
    </row>
    <row r="16" spans="1:5" x14ac:dyDescent="0.25">
      <c r="A16" s="19"/>
      <c r="B16" s="114" t="s">
        <v>449</v>
      </c>
      <c r="C16" s="72">
        <v>46.2</v>
      </c>
      <c r="D16" s="19"/>
      <c r="E16" s="19"/>
    </row>
    <row r="17" spans="1:5" x14ac:dyDescent="0.25">
      <c r="A17" s="19"/>
      <c r="B17" s="114" t="s">
        <v>449</v>
      </c>
      <c r="C17" s="72">
        <v>38.5</v>
      </c>
      <c r="D17" s="19"/>
      <c r="E17" s="19"/>
    </row>
    <row r="18" spans="1:5" x14ac:dyDescent="0.25">
      <c r="A18" s="19"/>
      <c r="B18" s="114" t="s">
        <v>450</v>
      </c>
      <c r="C18" s="72">
        <v>46.58</v>
      </c>
      <c r="D18" s="19"/>
      <c r="E18" s="19"/>
    </row>
    <row r="19" spans="1:5" x14ac:dyDescent="0.25">
      <c r="A19" s="19"/>
      <c r="B19" s="114" t="s">
        <v>449</v>
      </c>
      <c r="C19" s="72">
        <v>46.58</v>
      </c>
      <c r="D19" s="19"/>
      <c r="E19" s="19"/>
    </row>
    <row r="20" spans="1:5" x14ac:dyDescent="0.25">
      <c r="A20" s="19"/>
      <c r="B20" s="114" t="s">
        <v>449</v>
      </c>
      <c r="C20" s="72">
        <v>46.58</v>
      </c>
      <c r="D20" s="19"/>
      <c r="E20" s="19"/>
    </row>
    <row r="21" spans="1:5" x14ac:dyDescent="0.25">
      <c r="A21" s="19"/>
      <c r="B21" s="114" t="s">
        <v>449</v>
      </c>
      <c r="C21" s="72">
        <v>46.2</v>
      </c>
      <c r="D21" s="19"/>
      <c r="E21" s="19"/>
    </row>
    <row r="22" spans="1:5" x14ac:dyDescent="0.25">
      <c r="A22" s="19"/>
      <c r="B22" s="282" t="s">
        <v>449</v>
      </c>
      <c r="C22" s="72">
        <v>46.2</v>
      </c>
      <c r="D22" s="19"/>
      <c r="E22" s="19"/>
    </row>
    <row r="23" spans="1:5" x14ac:dyDescent="0.25">
      <c r="A23" s="19"/>
      <c r="B23" s="282" t="s">
        <v>449</v>
      </c>
      <c r="C23" s="72">
        <v>46.58</v>
      </c>
      <c r="D23" s="19"/>
      <c r="E23" s="19"/>
    </row>
    <row r="24" spans="1:5" x14ac:dyDescent="0.25">
      <c r="A24" s="19"/>
      <c r="B24" s="282" t="s">
        <v>449</v>
      </c>
      <c r="C24" s="72">
        <v>46.58</v>
      </c>
      <c r="D24" s="19"/>
      <c r="E24" s="19"/>
    </row>
    <row r="25" spans="1:5" x14ac:dyDescent="0.25">
      <c r="A25" s="19"/>
      <c r="B25" s="282" t="s">
        <v>449</v>
      </c>
      <c r="C25" s="72">
        <v>46.58</v>
      </c>
      <c r="D25" s="19"/>
      <c r="E25" s="19"/>
    </row>
    <row r="26" spans="1:5" x14ac:dyDescent="0.25">
      <c r="A26" s="19"/>
      <c r="B26" s="282" t="s">
        <v>449</v>
      </c>
      <c r="C26" s="72">
        <v>46.2</v>
      </c>
      <c r="D26" s="19"/>
      <c r="E26" s="19"/>
    </row>
    <row r="27" spans="1:5" x14ac:dyDescent="0.25">
      <c r="A27" s="19"/>
      <c r="B27" s="282" t="s">
        <v>449</v>
      </c>
      <c r="C27" s="72">
        <v>36.5</v>
      </c>
      <c r="D27" s="19"/>
      <c r="E27" s="19"/>
    </row>
    <row r="28" spans="1:5" x14ac:dyDescent="0.25">
      <c r="A28" s="19"/>
      <c r="B28" s="282" t="s">
        <v>449</v>
      </c>
      <c r="C28" s="72">
        <v>42.13</v>
      </c>
      <c r="D28" s="19"/>
      <c r="E28" s="19"/>
    </row>
    <row r="29" spans="1:5" x14ac:dyDescent="0.25">
      <c r="A29" s="19"/>
      <c r="B29" s="282" t="s">
        <v>449</v>
      </c>
      <c r="C29" s="72">
        <v>46.2</v>
      </c>
      <c r="D29" s="19"/>
      <c r="E29" s="19"/>
    </row>
    <row r="30" spans="1:5" x14ac:dyDescent="0.25">
      <c r="A30" s="19"/>
      <c r="B30" s="282" t="s">
        <v>451</v>
      </c>
      <c r="C30" s="72">
        <v>40.81</v>
      </c>
      <c r="D30" s="19"/>
      <c r="E30" s="19"/>
    </row>
    <row r="31" spans="1:5" x14ac:dyDescent="0.25">
      <c r="A31" s="19"/>
      <c r="B31" s="282" t="s">
        <v>414</v>
      </c>
      <c r="C31" s="72">
        <v>77</v>
      </c>
      <c r="D31" s="19"/>
      <c r="E31" s="19"/>
    </row>
    <row r="32" spans="1:5" x14ac:dyDescent="0.25">
      <c r="A32" s="19"/>
      <c r="B32" s="282" t="s">
        <v>367</v>
      </c>
      <c r="C32" s="72">
        <v>61.6</v>
      </c>
      <c r="D32" s="19"/>
      <c r="E32" s="19"/>
    </row>
    <row r="33" spans="1:5" x14ac:dyDescent="0.25">
      <c r="A33" s="19"/>
      <c r="B33" s="282" t="s">
        <v>368</v>
      </c>
      <c r="C33" s="72">
        <v>37.340000000000003</v>
      </c>
      <c r="D33" s="19"/>
      <c r="E33" s="19"/>
    </row>
    <row r="34" spans="1:5" x14ac:dyDescent="0.25">
      <c r="A34" s="19"/>
      <c r="B34" s="282" t="s">
        <v>413</v>
      </c>
      <c r="C34" s="72">
        <v>17.510000000000002</v>
      </c>
      <c r="D34" s="19"/>
      <c r="E34" s="19"/>
    </row>
    <row r="35" spans="1:5" x14ac:dyDescent="0.25">
      <c r="A35" s="19"/>
      <c r="B35" s="282" t="s">
        <v>452</v>
      </c>
      <c r="C35" s="72">
        <v>8.3699999999999992</v>
      </c>
      <c r="D35" s="19"/>
      <c r="E35" s="19"/>
    </row>
    <row r="36" spans="1:5" x14ac:dyDescent="0.25">
      <c r="A36" s="19"/>
      <c r="B36" s="282" t="s">
        <v>411</v>
      </c>
      <c r="C36" s="72">
        <v>20.079999999999998</v>
      </c>
      <c r="D36" s="19"/>
      <c r="E36" s="19"/>
    </row>
    <row r="37" spans="1:5" x14ac:dyDescent="0.25">
      <c r="B37" s="282" t="s">
        <v>409</v>
      </c>
      <c r="C37" s="72">
        <v>14.33</v>
      </c>
    </row>
    <row r="38" spans="1:5" x14ac:dyDescent="0.25">
      <c r="B38" s="282" t="s">
        <v>409</v>
      </c>
      <c r="C38" s="72">
        <v>7.98</v>
      </c>
    </row>
    <row r="39" spans="1:5" x14ac:dyDescent="0.25">
      <c r="B39" s="282" t="s">
        <v>408</v>
      </c>
      <c r="C39" s="72">
        <v>17.57</v>
      </c>
    </row>
    <row r="40" spans="1:5" x14ac:dyDescent="0.25">
      <c r="B40" s="282" t="s">
        <v>453</v>
      </c>
      <c r="C40" s="72">
        <v>4.22</v>
      </c>
    </row>
    <row r="41" spans="1:5" x14ac:dyDescent="0.25">
      <c r="B41" s="282" t="s">
        <v>454</v>
      </c>
      <c r="C41" s="72">
        <v>3.08</v>
      </c>
    </row>
    <row r="42" spans="1:5" x14ac:dyDescent="0.25">
      <c r="B42" s="283" t="s">
        <v>455</v>
      </c>
      <c r="C42" s="72">
        <v>3.36</v>
      </c>
    </row>
    <row r="43" spans="1:5" x14ac:dyDescent="0.25">
      <c r="B43" s="282" t="s">
        <v>408</v>
      </c>
      <c r="C43" s="72">
        <v>17.52</v>
      </c>
    </row>
    <row r="44" spans="1:5" x14ac:dyDescent="0.25">
      <c r="B44" s="282" t="s">
        <v>456</v>
      </c>
      <c r="C44" s="72">
        <v>110.08</v>
      </c>
    </row>
    <row r="45" spans="1:5" x14ac:dyDescent="0.25">
      <c r="B45" s="282" t="s">
        <v>457</v>
      </c>
      <c r="C45" s="72">
        <v>360.68</v>
      </c>
    </row>
    <row r="46" spans="1:5" x14ac:dyDescent="0.25">
      <c r="B46" s="282" t="s">
        <v>457</v>
      </c>
      <c r="C46" s="72">
        <v>60.35</v>
      </c>
    </row>
    <row r="47" spans="1:5" x14ac:dyDescent="0.25">
      <c r="B47" s="282" t="s">
        <v>458</v>
      </c>
      <c r="C47" s="72">
        <v>42.4</v>
      </c>
    </row>
    <row r="48" spans="1:5" x14ac:dyDescent="0.25">
      <c r="B48" s="282" t="s">
        <v>458</v>
      </c>
      <c r="C48" s="72">
        <v>42.4</v>
      </c>
    </row>
    <row r="49" spans="2:3" x14ac:dyDescent="0.25">
      <c r="B49" s="282" t="s">
        <v>459</v>
      </c>
      <c r="C49" s="72">
        <v>68.09</v>
      </c>
    </row>
    <row r="50" spans="2:3" x14ac:dyDescent="0.25">
      <c r="B50" s="282" t="s">
        <v>460</v>
      </c>
      <c r="C50" s="72">
        <v>79.63</v>
      </c>
    </row>
    <row r="51" spans="2:3" x14ac:dyDescent="0.25">
      <c r="B51" s="282" t="s">
        <v>238</v>
      </c>
      <c r="C51" s="72">
        <v>61.15</v>
      </c>
    </row>
    <row r="52" spans="2:3" x14ac:dyDescent="0.25">
      <c r="B52" s="282" t="s">
        <v>460</v>
      </c>
      <c r="C52" s="72">
        <v>79.64</v>
      </c>
    </row>
    <row r="53" spans="2:3" x14ac:dyDescent="0.25">
      <c r="B53" s="282" t="s">
        <v>457</v>
      </c>
      <c r="C53" s="72">
        <v>40</v>
      </c>
    </row>
    <row r="54" spans="2:3" ht="15.75" thickBot="1" x14ac:dyDescent="0.3">
      <c r="B54" s="284" t="s">
        <v>158</v>
      </c>
      <c r="C54" s="285">
        <f>SUM(C15:C53)</f>
        <v>1949.0000000000002</v>
      </c>
    </row>
    <row r="55" spans="2:3" ht="15.75" thickBot="1" x14ac:dyDescent="0.3"/>
    <row r="56" spans="2:3" ht="15.75" thickBot="1" x14ac:dyDescent="0.3">
      <c r="B56" s="759" t="s">
        <v>466</v>
      </c>
      <c r="C56" s="760"/>
    </row>
    <row r="57" spans="2:3" x14ac:dyDescent="0.25">
      <c r="B57" s="280" t="s">
        <v>222</v>
      </c>
      <c r="C57" s="281" t="s">
        <v>223</v>
      </c>
    </row>
    <row r="58" spans="2:3" x14ac:dyDescent="0.25">
      <c r="B58" s="114" t="s">
        <v>449</v>
      </c>
      <c r="C58" s="72">
        <v>46.2</v>
      </c>
    </row>
    <row r="59" spans="2:3" x14ac:dyDescent="0.25">
      <c r="B59" s="114" t="s">
        <v>449</v>
      </c>
      <c r="C59" s="72">
        <v>46.2</v>
      </c>
    </row>
    <row r="60" spans="2:3" x14ac:dyDescent="0.25">
      <c r="B60" s="114" t="s">
        <v>449</v>
      </c>
      <c r="C60" s="72">
        <v>38.5</v>
      </c>
    </row>
    <row r="61" spans="2:3" x14ac:dyDescent="0.25">
      <c r="B61" s="114" t="s">
        <v>450</v>
      </c>
      <c r="C61" s="72">
        <v>46.58</v>
      </c>
    </row>
    <row r="62" spans="2:3" x14ac:dyDescent="0.25">
      <c r="B62" s="114" t="s">
        <v>449</v>
      </c>
      <c r="C62" s="72">
        <v>46.58</v>
      </c>
    </row>
    <row r="63" spans="2:3" x14ac:dyDescent="0.25">
      <c r="B63" s="114" t="s">
        <v>449</v>
      </c>
      <c r="C63" s="72">
        <v>46.58</v>
      </c>
    </row>
    <row r="64" spans="2:3" x14ac:dyDescent="0.25">
      <c r="B64" s="114" t="s">
        <v>449</v>
      </c>
      <c r="C64" s="72">
        <v>46.2</v>
      </c>
    </row>
    <row r="65" spans="2:3" x14ac:dyDescent="0.25">
      <c r="B65" s="282" t="s">
        <v>449</v>
      </c>
      <c r="C65" s="72">
        <v>46.2</v>
      </c>
    </row>
    <row r="66" spans="2:3" x14ac:dyDescent="0.25">
      <c r="B66" s="282" t="s">
        <v>449</v>
      </c>
      <c r="C66" s="72">
        <v>46.58</v>
      </c>
    </row>
    <row r="67" spans="2:3" x14ac:dyDescent="0.25">
      <c r="B67" s="282" t="s">
        <v>449</v>
      </c>
      <c r="C67" s="72">
        <v>46.58</v>
      </c>
    </row>
    <row r="68" spans="2:3" x14ac:dyDescent="0.25">
      <c r="B68" s="282" t="s">
        <v>449</v>
      </c>
      <c r="C68" s="72">
        <v>46.58</v>
      </c>
    </row>
    <row r="69" spans="2:3" x14ac:dyDescent="0.25">
      <c r="B69" s="282" t="s">
        <v>449</v>
      </c>
      <c r="C69" s="72">
        <v>46.2</v>
      </c>
    </row>
    <row r="70" spans="2:3" x14ac:dyDescent="0.25">
      <c r="B70" s="282" t="s">
        <v>449</v>
      </c>
      <c r="C70" s="72">
        <v>36.5</v>
      </c>
    </row>
    <row r="71" spans="2:3" x14ac:dyDescent="0.25">
      <c r="B71" s="282" t="s">
        <v>449</v>
      </c>
      <c r="C71" s="72">
        <v>42.13</v>
      </c>
    </row>
    <row r="72" spans="2:3" x14ac:dyDescent="0.25">
      <c r="B72" s="282" t="s">
        <v>449</v>
      </c>
      <c r="C72" s="72">
        <v>46.2</v>
      </c>
    </row>
    <row r="73" spans="2:3" x14ac:dyDescent="0.25">
      <c r="B73" s="282" t="s">
        <v>451</v>
      </c>
      <c r="C73" s="72">
        <v>40.81</v>
      </c>
    </row>
    <row r="74" spans="2:3" x14ac:dyDescent="0.25">
      <c r="B74" s="282" t="s">
        <v>414</v>
      </c>
      <c r="C74" s="72">
        <v>77</v>
      </c>
    </row>
    <row r="75" spans="2:3" x14ac:dyDescent="0.25">
      <c r="B75" s="282" t="s">
        <v>367</v>
      </c>
      <c r="C75" s="72">
        <v>61.6</v>
      </c>
    </row>
    <row r="76" spans="2:3" x14ac:dyDescent="0.25">
      <c r="B76" s="282" t="s">
        <v>368</v>
      </c>
      <c r="C76" s="72">
        <v>37.340000000000003</v>
      </c>
    </row>
    <row r="77" spans="2:3" x14ac:dyDescent="0.25">
      <c r="B77" s="282" t="s">
        <v>413</v>
      </c>
      <c r="C77" s="72">
        <v>17.510000000000002</v>
      </c>
    </row>
    <row r="78" spans="2:3" x14ac:dyDescent="0.25">
      <c r="B78" s="282" t="s">
        <v>452</v>
      </c>
      <c r="C78" s="72">
        <v>8.3699999999999992</v>
      </c>
    </row>
    <row r="79" spans="2:3" x14ac:dyDescent="0.25">
      <c r="B79" s="282" t="s">
        <v>411</v>
      </c>
      <c r="C79" s="72">
        <v>20.079999999999998</v>
      </c>
    </row>
    <row r="80" spans="2:3" x14ac:dyDescent="0.25">
      <c r="B80" s="282" t="s">
        <v>409</v>
      </c>
      <c r="C80" s="72">
        <v>14.33</v>
      </c>
    </row>
    <row r="81" spans="2:3" x14ac:dyDescent="0.25">
      <c r="B81" s="282" t="s">
        <v>409</v>
      </c>
      <c r="C81" s="72">
        <v>7.98</v>
      </c>
    </row>
    <row r="82" spans="2:3" x14ac:dyDescent="0.25">
      <c r="B82" s="282" t="s">
        <v>408</v>
      </c>
      <c r="C82" s="72">
        <v>17.57</v>
      </c>
    </row>
    <row r="83" spans="2:3" x14ac:dyDescent="0.25">
      <c r="B83" s="282" t="s">
        <v>353</v>
      </c>
      <c r="C83" s="72">
        <v>46.2</v>
      </c>
    </row>
    <row r="84" spans="2:3" x14ac:dyDescent="0.25">
      <c r="B84" s="282" t="s">
        <v>453</v>
      </c>
      <c r="C84" s="72">
        <v>4.22</v>
      </c>
    </row>
    <row r="85" spans="2:3" x14ac:dyDescent="0.25">
      <c r="B85" s="282" t="s">
        <v>454</v>
      </c>
      <c r="C85" s="72">
        <v>3.08</v>
      </c>
    </row>
    <row r="86" spans="2:3" x14ac:dyDescent="0.25">
      <c r="B86" s="283" t="s">
        <v>455</v>
      </c>
      <c r="C86" s="72">
        <v>3.36</v>
      </c>
    </row>
    <row r="87" spans="2:3" x14ac:dyDescent="0.25">
      <c r="B87" s="282" t="s">
        <v>408</v>
      </c>
      <c r="C87" s="72">
        <v>17.52</v>
      </c>
    </row>
    <row r="88" spans="2:3" x14ac:dyDescent="0.25">
      <c r="B88" s="282" t="s">
        <v>456</v>
      </c>
      <c r="C88" s="72">
        <v>110.08</v>
      </c>
    </row>
    <row r="89" spans="2:3" x14ac:dyDescent="0.25">
      <c r="B89" s="282" t="s">
        <v>457</v>
      </c>
      <c r="C89" s="72">
        <v>360.68</v>
      </c>
    </row>
    <row r="90" spans="2:3" x14ac:dyDescent="0.25">
      <c r="B90" s="282" t="s">
        <v>457</v>
      </c>
      <c r="C90" s="72">
        <v>60.35</v>
      </c>
    </row>
    <row r="91" spans="2:3" x14ac:dyDescent="0.25">
      <c r="B91" s="282" t="s">
        <v>458</v>
      </c>
      <c r="C91" s="72">
        <v>42.4</v>
      </c>
    </row>
    <row r="92" spans="2:3" x14ac:dyDescent="0.25">
      <c r="B92" s="282" t="s">
        <v>458</v>
      </c>
      <c r="C92" s="72">
        <v>42.4</v>
      </c>
    </row>
    <row r="93" spans="2:3" x14ac:dyDescent="0.25">
      <c r="B93" s="282" t="s">
        <v>459</v>
      </c>
      <c r="C93" s="72">
        <v>68.09</v>
      </c>
    </row>
    <row r="94" spans="2:3" x14ac:dyDescent="0.25">
      <c r="B94" s="282" t="s">
        <v>460</v>
      </c>
      <c r="C94" s="72">
        <v>79.63</v>
      </c>
    </row>
    <row r="95" spans="2:3" x14ac:dyDescent="0.25">
      <c r="B95" s="282" t="s">
        <v>238</v>
      </c>
      <c r="C95" s="72">
        <v>61.15</v>
      </c>
    </row>
    <row r="96" spans="2:3" x14ac:dyDescent="0.25">
      <c r="B96" s="282" t="s">
        <v>460</v>
      </c>
      <c r="C96" s="72">
        <v>79.64</v>
      </c>
    </row>
    <row r="97" spans="2:5" x14ac:dyDescent="0.25">
      <c r="B97" s="282" t="s">
        <v>457</v>
      </c>
      <c r="C97" s="72">
        <v>40</v>
      </c>
    </row>
    <row r="98" spans="2:5" ht="15.75" thickBot="1" x14ac:dyDescent="0.3">
      <c r="B98" s="284" t="s">
        <v>158</v>
      </c>
      <c r="C98" s="285">
        <f>SUM(C58:C97)</f>
        <v>1995.2</v>
      </c>
    </row>
    <row r="99" spans="2:5" ht="15.75" thickBot="1" x14ac:dyDescent="0.3"/>
    <row r="100" spans="2:5" ht="15.75" thickBot="1" x14ac:dyDescent="0.3">
      <c r="B100" s="759" t="s">
        <v>467</v>
      </c>
      <c r="C100" s="760"/>
    </row>
    <row r="101" spans="2:5" x14ac:dyDescent="0.25">
      <c r="B101" s="278" t="s">
        <v>222</v>
      </c>
      <c r="C101" s="279" t="s">
        <v>223</v>
      </c>
    </row>
    <row r="102" spans="2:5" x14ac:dyDescent="0.25">
      <c r="B102" s="282" t="s">
        <v>362</v>
      </c>
      <c r="C102" s="72">
        <f>2.7+E102</f>
        <v>16</v>
      </c>
      <c r="E102" s="230">
        <f>6.65*2</f>
        <v>13.3</v>
      </c>
    </row>
    <row r="103" spans="2:5" x14ac:dyDescent="0.25">
      <c r="B103" s="282" t="s">
        <v>362</v>
      </c>
      <c r="C103" s="72">
        <f>2.7+E103</f>
        <v>15.399999999999999</v>
      </c>
      <c r="E103" s="230">
        <f>6.35*2</f>
        <v>12.7</v>
      </c>
    </row>
    <row r="104" spans="2:5" x14ac:dyDescent="0.25">
      <c r="B104" s="282" t="s">
        <v>352</v>
      </c>
      <c r="C104" s="72">
        <f>2.7+E104</f>
        <v>57.5</v>
      </c>
      <c r="E104" s="230">
        <f>27.4*2</f>
        <v>54.8</v>
      </c>
    </row>
    <row r="105" spans="2:5" x14ac:dyDescent="0.25">
      <c r="B105" s="282" t="s">
        <v>353</v>
      </c>
      <c r="C105" s="72">
        <f>2.7+E105</f>
        <v>57.5</v>
      </c>
      <c r="E105" s="230">
        <f>27.4*2</f>
        <v>54.8</v>
      </c>
    </row>
    <row r="106" spans="2:5" x14ac:dyDescent="0.25">
      <c r="B106" s="282" t="s">
        <v>410</v>
      </c>
      <c r="C106" s="72">
        <f>2.7+E106</f>
        <v>18.899999999999999</v>
      </c>
      <c r="E106" s="230">
        <f>8.1*2</f>
        <v>16.2</v>
      </c>
    </row>
    <row r="107" spans="2:5" x14ac:dyDescent="0.25">
      <c r="B107" s="282" t="s">
        <v>417</v>
      </c>
      <c r="C107" s="72">
        <f t="shared" ref="C107:C110" si="0">2.7+E107</f>
        <v>56.7</v>
      </c>
      <c r="E107" s="230">
        <f>27*2</f>
        <v>54</v>
      </c>
    </row>
    <row r="108" spans="2:5" x14ac:dyDescent="0.25">
      <c r="B108" s="282" t="s">
        <v>461</v>
      </c>
      <c r="C108" s="72">
        <f t="shared" si="0"/>
        <v>20.099999999999998</v>
      </c>
      <c r="E108" s="230">
        <f>8.7*2</f>
        <v>17.399999999999999</v>
      </c>
    </row>
    <row r="109" spans="2:5" x14ac:dyDescent="0.25">
      <c r="B109" s="282" t="s">
        <v>462</v>
      </c>
      <c r="C109" s="72">
        <f t="shared" si="0"/>
        <v>20.099999999999998</v>
      </c>
      <c r="E109" s="230">
        <f>8.7*2</f>
        <v>17.399999999999999</v>
      </c>
    </row>
    <row r="110" spans="2:5" x14ac:dyDescent="0.25">
      <c r="B110" s="282" t="s">
        <v>362</v>
      </c>
      <c r="C110" s="72">
        <f t="shared" si="0"/>
        <v>8.6999999999999993</v>
      </c>
      <c r="E110" s="230">
        <f>3*2</f>
        <v>6</v>
      </c>
    </row>
    <row r="111" spans="2:5" ht="15.75" thickBot="1" x14ac:dyDescent="0.3">
      <c r="B111" s="277" t="s">
        <v>235</v>
      </c>
      <c r="C111" s="124">
        <f>SUM(C102:C110)</f>
        <v>270.89999999999998</v>
      </c>
    </row>
    <row r="112" spans="2:5" ht="33" customHeight="1" thickBot="1" x14ac:dyDescent="0.3">
      <c r="B112" s="761" t="s">
        <v>468</v>
      </c>
      <c r="C112" s="762"/>
    </row>
    <row r="113" spans="2:3" ht="15.75" thickBot="1" x14ac:dyDescent="0.3"/>
    <row r="114" spans="2:3" ht="15.75" thickBot="1" x14ac:dyDescent="0.3">
      <c r="B114" s="759" t="s">
        <v>484</v>
      </c>
      <c r="C114" s="760"/>
    </row>
    <row r="115" spans="2:3" x14ac:dyDescent="0.25">
      <c r="B115" s="278" t="s">
        <v>222</v>
      </c>
      <c r="C115" s="279" t="s">
        <v>24</v>
      </c>
    </row>
    <row r="116" spans="2:3" x14ac:dyDescent="0.25">
      <c r="B116" s="114" t="s">
        <v>485</v>
      </c>
      <c r="C116" s="72">
        <v>320.45890000000003</v>
      </c>
    </row>
    <row r="117" spans="2:3" ht="15.75" thickBot="1" x14ac:dyDescent="0.3">
      <c r="B117" s="277" t="s">
        <v>235</v>
      </c>
      <c r="C117" s="124">
        <f>SUM(C116:C116)</f>
        <v>320.45890000000003</v>
      </c>
    </row>
  </sheetData>
  <mergeCells count="12">
    <mergeCell ref="B56:C56"/>
    <mergeCell ref="B100:C100"/>
    <mergeCell ref="B112:C112"/>
    <mergeCell ref="B114:C114"/>
    <mergeCell ref="A1:D1"/>
    <mergeCell ref="B8:C8"/>
    <mergeCell ref="A6:D7"/>
    <mergeCell ref="B2:D2"/>
    <mergeCell ref="B3:D3"/>
    <mergeCell ref="B4:D4"/>
    <mergeCell ref="B5:D5"/>
    <mergeCell ref="B13:C13"/>
  </mergeCells>
  <printOptions horizontalCentered="1"/>
  <pageMargins left="0.51181102362204722" right="0.51181102362204722" top="0.98425196850393704" bottom="0.98425196850393704" header="0.51181102362204722" footer="0.51181102362204722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8">
    <tabColor theme="3" tint="-0.249977111117893"/>
    <pageSetUpPr fitToPage="1"/>
  </sheetPr>
  <dimension ref="A1:I234"/>
  <sheetViews>
    <sheetView tabSelected="1" view="pageBreakPreview" zoomScale="96" zoomScaleNormal="90" zoomScaleSheetLayoutView="96" workbookViewId="0">
      <selection activeCell="O29" sqref="O29"/>
    </sheetView>
  </sheetViews>
  <sheetFormatPr defaultRowHeight="15" x14ac:dyDescent="0.25"/>
  <cols>
    <col min="1" max="1" width="9.7109375" bestFit="1" customWidth="1"/>
    <col min="2" max="2" width="97" customWidth="1"/>
    <col min="3" max="3" width="51.42578125" customWidth="1"/>
    <col min="4" max="4" width="17.7109375" customWidth="1"/>
    <col min="5" max="5" width="15.85546875" customWidth="1"/>
    <col min="6" max="6" width="13.140625" bestFit="1" customWidth="1"/>
    <col min="7" max="7" width="13.85546875" bestFit="1" customWidth="1"/>
    <col min="8" max="8" width="17.7109375" bestFit="1" customWidth="1"/>
    <col min="9" max="9" width="18" style="24" customWidth="1"/>
    <col min="10" max="10" width="25.42578125" bestFit="1" customWidth="1"/>
  </cols>
  <sheetData>
    <row r="1" spans="1:9" ht="46.5" customHeight="1" x14ac:dyDescent="0.25">
      <c r="A1" s="774" t="s">
        <v>386</v>
      </c>
      <c r="B1" s="775"/>
      <c r="C1" s="775"/>
      <c r="D1" s="775"/>
      <c r="E1" s="776"/>
      <c r="I1"/>
    </row>
    <row r="2" spans="1:9" x14ac:dyDescent="0.25">
      <c r="A2" s="91" t="s">
        <v>12</v>
      </c>
      <c r="B2" s="475" t="str">
        <f>'PLANILHA ORÇAMENTARIA'!B2:E2</f>
        <v>ESCOLA MUNICIPAL DOMINGOS AZZONLINI</v>
      </c>
      <c r="C2" s="562"/>
      <c r="D2" s="562"/>
      <c r="E2" s="563"/>
      <c r="I2"/>
    </row>
    <row r="3" spans="1:9" x14ac:dyDescent="0.25">
      <c r="A3" s="31" t="s">
        <v>13</v>
      </c>
      <c r="B3" s="475" t="str">
        <f>'PLANILHA ORÇAMENTARIA'!B3:E3</f>
        <v>SANTO ANTÔNIO DO LESTE - MT</v>
      </c>
      <c r="C3" s="562"/>
      <c r="D3" s="562"/>
      <c r="E3" s="563"/>
      <c r="I3"/>
    </row>
    <row r="4" spans="1:9" x14ac:dyDescent="0.25">
      <c r="A4" s="31" t="s">
        <v>14</v>
      </c>
      <c r="B4" s="475" t="str">
        <f>'PLANILHA ORÇAMENTARIA'!B4:E4</f>
        <v>PREFEITURA MUNICIPAL DE SANTO ANTÔNIO DO LESTE - MT</v>
      </c>
      <c r="C4" s="562"/>
      <c r="D4" s="562"/>
      <c r="E4" s="563"/>
      <c r="I4"/>
    </row>
    <row r="5" spans="1:9" x14ac:dyDescent="0.25">
      <c r="A5" s="31" t="s">
        <v>15</v>
      </c>
      <c r="B5" s="475">
        <f>'PLANILHA ORÇAMENTARIA'!B5:E5</f>
        <v>44810</v>
      </c>
      <c r="C5" s="562"/>
      <c r="D5" s="562"/>
      <c r="E5" s="563"/>
      <c r="I5"/>
    </row>
    <row r="6" spans="1:9" x14ac:dyDescent="0.25">
      <c r="A6" s="777"/>
      <c r="B6" s="566"/>
      <c r="C6" s="566"/>
      <c r="D6" s="566"/>
      <c r="E6" s="566"/>
      <c r="I6"/>
    </row>
    <row r="7" spans="1:9" ht="19.5" x14ac:dyDescent="0.25">
      <c r="A7" s="778" t="s">
        <v>385</v>
      </c>
      <c r="B7" s="779"/>
      <c r="C7" s="779"/>
      <c r="D7" s="779"/>
      <c r="E7" s="780"/>
      <c r="I7"/>
    </row>
    <row r="8" spans="1:9" x14ac:dyDescent="0.25">
      <c r="A8" s="461" t="s">
        <v>3</v>
      </c>
      <c r="B8" s="461" t="s">
        <v>4</v>
      </c>
      <c r="C8" s="461" t="s">
        <v>110</v>
      </c>
      <c r="D8" s="461" t="s">
        <v>6</v>
      </c>
      <c r="E8" s="781" t="s">
        <v>309</v>
      </c>
      <c r="I8"/>
    </row>
    <row r="9" spans="1:9" x14ac:dyDescent="0.25">
      <c r="A9" s="461"/>
      <c r="B9" s="461"/>
      <c r="C9" s="461"/>
      <c r="D9" s="461"/>
      <c r="E9" s="490"/>
      <c r="I9"/>
    </row>
    <row r="10" spans="1:9" x14ac:dyDescent="0.25">
      <c r="A10" s="92" t="str">
        <f>'PLANILHA ORÇAMENTARIA'!C10</f>
        <v>1.0</v>
      </c>
      <c r="B10" s="308" t="str">
        <f>'PLANILHA ORÇAMENTARIA'!D10</f>
        <v>SERVIÇOS PRELIMINÁRES</v>
      </c>
      <c r="C10" s="308"/>
      <c r="D10" s="308"/>
      <c r="E10" s="308"/>
      <c r="I10"/>
    </row>
    <row r="11" spans="1:9" ht="60" customHeight="1" x14ac:dyDescent="0.25">
      <c r="A11" s="3" t="str">
        <f>'PLANILHA ORÇAMENTARIA'!C11</f>
        <v>1.1</v>
      </c>
      <c r="B11" s="313" t="str">
        <f>'PLANILHA ORÇAMENTARIA'!D11</f>
        <v>ADMINISTRAÇÃO DA OBRA</v>
      </c>
      <c r="C11" s="110" t="s">
        <v>382</v>
      </c>
      <c r="D11" s="29">
        <v>1</v>
      </c>
      <c r="E11" s="30" t="s">
        <v>31</v>
      </c>
      <c r="I11"/>
    </row>
    <row r="12" spans="1:9" ht="30" customHeight="1" x14ac:dyDescent="0.25">
      <c r="A12" s="313" t="str">
        <f>'PLANILHA ORÇAMENTARIA'!C12</f>
        <v>1.2</v>
      </c>
      <c r="B12" s="313" t="str">
        <f>'PLANILHA ORÇAMENTARIA'!D12</f>
        <v>PLACA DE OBRA *2,4 X 1,2* M COM POSTE DE MADEIRA PARA FIXAÇÃO. INSTALAÇÃO E FORNECIMENTO.</v>
      </c>
      <c r="C12" s="27" t="s">
        <v>310</v>
      </c>
      <c r="D12" s="29">
        <v>2.88</v>
      </c>
      <c r="E12" s="30" t="s">
        <v>22</v>
      </c>
      <c r="I12"/>
    </row>
    <row r="13" spans="1:9" ht="30" customHeight="1" x14ac:dyDescent="0.25">
      <c r="A13" s="313" t="str">
        <f>'PLANILHA ORÇAMENTARIA'!C13</f>
        <v>1.3</v>
      </c>
      <c r="B13" s="39" t="str">
        <f>'PLANILHA ORÇAMENTARIA'!D13</f>
        <v>LOCACAO CONVENCIONAL DE OBRA, UTILIZANDO GABARITO DE TÁBUAS CORRIDAS PONTALETADAS A CADA 2,00M - 2 UTILIZAÇÕES. AF_10/2018</v>
      </c>
      <c r="C13" s="110" t="s">
        <v>392</v>
      </c>
      <c r="D13" s="29">
        <f>35.1353+3.1+3.1+3.1+3.1</f>
        <v>47.535300000000007</v>
      </c>
      <c r="E13" s="30" t="s">
        <v>24</v>
      </c>
      <c r="I13"/>
    </row>
    <row r="14" spans="1:9" x14ac:dyDescent="0.25">
      <c r="A14" s="92" t="s">
        <v>25</v>
      </c>
      <c r="B14" s="92" t="s">
        <v>100</v>
      </c>
      <c r="C14" s="92"/>
      <c r="D14" s="92"/>
      <c r="E14" s="92"/>
      <c r="I14"/>
    </row>
    <row r="15" spans="1:9" ht="30" customHeight="1" x14ac:dyDescent="0.25">
      <c r="A15" s="3" t="str">
        <f>'PLANILHA ORÇAMENTARIA'!C15</f>
        <v>2.1</v>
      </c>
      <c r="B15" s="313" t="str">
        <f>'PLANILHA ORÇAMENTARIA'!D15</f>
        <v>PREPARO DE FUNDO DE VALA COM LARGURA MENOR QUE 1,5 M (ACERTO DO SOLO NATURAL). AF_08/2020</v>
      </c>
      <c r="C15" s="27" t="s">
        <v>311</v>
      </c>
      <c r="D15" s="29">
        <f>'PLANILHA ORÇAMENTARIA'!F15</f>
        <v>13.973470000000001</v>
      </c>
      <c r="E15" s="27" t="s">
        <v>22</v>
      </c>
      <c r="I15"/>
    </row>
    <row r="16" spans="1:9" ht="30" customHeight="1" x14ac:dyDescent="0.25">
      <c r="A16" s="313" t="str">
        <f>'PLANILHA ORÇAMENTARIA'!C16</f>
        <v>2.2</v>
      </c>
      <c r="B16" s="313" t="str">
        <f>'PLANILHA ORÇAMENTARIA'!D16</f>
        <v>ESCAVAÇÃO MANUAL PARA BLOCO DE COROAMENTO OU SAPATA (INCLUINDO ESCAVAÇÃO PARA COLOCAÇÃO DE FÔRMAS). AF_06/2017</v>
      </c>
      <c r="C16" s="27" t="s">
        <v>311</v>
      </c>
      <c r="D16" s="29">
        <f>'PLANILHA ORÇAMENTARIA'!F16</f>
        <v>10.145000000000001</v>
      </c>
      <c r="E16" s="27" t="s">
        <v>23</v>
      </c>
      <c r="I16"/>
    </row>
    <row r="17" spans="1:9" ht="30" customHeight="1" x14ac:dyDescent="0.25">
      <c r="A17" s="313" t="str">
        <f>'PLANILHA ORÇAMENTARIA'!C17</f>
        <v>2.3</v>
      </c>
      <c r="B17" s="313" t="str">
        <f>'PLANILHA ORÇAMENTARIA'!D17</f>
        <v>ESCAVAÇÃO MANUAL DE VALA PARA VIGA BALDRAME (INCLUINDO ESCAVAÇÃO PARA COLOCAÇÃO DE FÔRMAS). AF_06/2017</v>
      </c>
      <c r="C17" s="27" t="s">
        <v>311</v>
      </c>
      <c r="D17" s="29">
        <f>'PLANILHA ORÇAMENTARIA'!F17</f>
        <v>3.7442564999999992</v>
      </c>
      <c r="E17" s="27" t="s">
        <v>23</v>
      </c>
      <c r="I17"/>
    </row>
    <row r="18" spans="1:9" ht="30" customHeight="1" x14ac:dyDescent="0.25">
      <c r="A18" s="313" t="str">
        <f>'PLANILHA ORÇAMENTARIA'!C18</f>
        <v>2.4</v>
      </c>
      <c r="B18" s="313" t="str">
        <f>'PLANILHA ORÇAMENTARIA'!D18</f>
        <v>REATERRO MANUAL APILOADO COM SOQUETE. AF_10/2017</v>
      </c>
      <c r="C18" s="27" t="s">
        <v>311</v>
      </c>
      <c r="D18" s="29">
        <f>'PLANILHA ORÇAMENTARIA'!F18</f>
        <v>9.0700523999999998</v>
      </c>
      <c r="E18" s="27" t="s">
        <v>23</v>
      </c>
      <c r="I18"/>
    </row>
    <row r="19" spans="1:9" x14ac:dyDescent="0.25">
      <c r="A19" s="92" t="s">
        <v>37</v>
      </c>
      <c r="B19" s="92" t="s">
        <v>103</v>
      </c>
      <c r="C19" s="92"/>
      <c r="D19" s="92"/>
      <c r="E19" s="92"/>
      <c r="I19"/>
    </row>
    <row r="20" spans="1:9" ht="30" customHeight="1" x14ac:dyDescent="0.25">
      <c r="A20" s="39" t="str">
        <f>'PLANILHA ORÇAMENTARIA'!C20</f>
        <v>3.1</v>
      </c>
      <c r="B20" s="39" t="str">
        <f>'PLANILHA ORÇAMENTARIA'!D20</f>
        <v>LASTRO DE CONCRETO MAGRO, APLICADO EM BLOCOS DE COROAMENTO OU SAPATAS,
ESPESSURA DE 3 CM. AF_08/2017</v>
      </c>
      <c r="C20" s="27" t="s">
        <v>311</v>
      </c>
      <c r="D20" s="29">
        <f>'PLANILHA ORÇAMENTARIA'!F20</f>
        <v>6.9049999999999994</v>
      </c>
      <c r="E20" s="27" t="s">
        <v>22</v>
      </c>
      <c r="I20"/>
    </row>
    <row r="21" spans="1:9" ht="30" customHeight="1" x14ac:dyDescent="0.25">
      <c r="A21" s="39" t="str">
        <f>'PLANILHA ORÇAMENTARIA'!C21</f>
        <v>3.2</v>
      </c>
      <c r="B21" s="39" t="str">
        <f>'PLANILHA ORÇAMENTARIA'!D21</f>
        <v>CONCRETO FCK = 25MPA, TRAÇO 1:2,3:2,7 (EM MASSA SECA DE CIMENTO/ AREIA MÉDIA/ BRITA 1) - PREPARO MECÂNICO COM BETONEIRA 400 L. AF_05/2021</v>
      </c>
      <c r="C21" s="27" t="s">
        <v>311</v>
      </c>
      <c r="D21" s="47">
        <f>2.4+1.7</f>
        <v>4.0999999999999996</v>
      </c>
      <c r="E21" s="27" t="s">
        <v>23</v>
      </c>
      <c r="I21"/>
    </row>
    <row r="22" spans="1:9" ht="30" customHeight="1" x14ac:dyDescent="0.25">
      <c r="A22" s="39" t="str">
        <f>'PLANILHA ORÇAMENTARIA'!C22</f>
        <v>3.3</v>
      </c>
      <c r="B22" s="39" t="str">
        <f>'PLANILHA ORÇAMENTARIA'!D22</f>
        <v>LANÇAMENTO COM USO DE BALDES, ADENSAMENTO E ACABAMENTO DE CONCRETO EM ESTRUTURAS. AF_02/2022</v>
      </c>
      <c r="C22" s="27" t="s">
        <v>311</v>
      </c>
      <c r="D22" s="47">
        <v>4.0999999999999996</v>
      </c>
      <c r="E22" s="27" t="s">
        <v>23</v>
      </c>
      <c r="I22"/>
    </row>
    <row r="23" spans="1:9" ht="30" customHeight="1" x14ac:dyDescent="0.25">
      <c r="A23" s="39" t="str">
        <f>'PLANILHA ORÇAMENTARIA'!C23</f>
        <v>3.4</v>
      </c>
      <c r="B23" s="39" t="str">
        <f>'PLANILHA ORÇAMENTARIA'!D23</f>
        <v>FABRICAÇÃO, MONTAGEM E DESMONTAGEM DE FÔRMA PARA SAPATA, EM MADEIRA SERRADA, E=25 MM, 4 UTILIZAÇÕES. AF_06/2017</v>
      </c>
      <c r="C23" s="27" t="s">
        <v>311</v>
      </c>
      <c r="D23" s="29">
        <v>7.9</v>
      </c>
      <c r="E23" s="27" t="s">
        <v>22</v>
      </c>
      <c r="I23"/>
    </row>
    <row r="24" spans="1:9" ht="30" customHeight="1" x14ac:dyDescent="0.25">
      <c r="A24" s="39" t="str">
        <f>'PLANILHA ORÇAMENTARIA'!C24</f>
        <v>3.5</v>
      </c>
      <c r="B24" s="39" t="str">
        <f>'PLANILHA ORÇAMENTARIA'!D24</f>
        <v>FABRICAÇÃO, MONTAGEM E DESMONTAGEM DE FÔRMA PARA VIGA BALDRAME, EM MADEIRA SERRADA, E=25 MM, 4 UTILIZAÇÕES. AF_06/2017</v>
      </c>
      <c r="C24" s="27" t="s">
        <v>311</v>
      </c>
      <c r="D24" s="29">
        <v>30.9</v>
      </c>
      <c r="E24" s="27" t="s">
        <v>22</v>
      </c>
      <c r="I24"/>
    </row>
    <row r="25" spans="1:9" ht="30" customHeight="1" x14ac:dyDescent="0.25">
      <c r="A25" s="39" t="str">
        <f>'PLANILHA ORÇAMENTARIA'!C25</f>
        <v>3.6</v>
      </c>
      <c r="B25" s="39" t="str">
        <f>'PLANILHA ORÇAMENTARIA'!D25</f>
        <v>ARMAÇÃO DE BLOCO, VIGA BALDRAME OU SAPATA UTILIZANDO AÇO CA-50 DE 8 MM KG- MONTAGEM. AF_06/2017</v>
      </c>
      <c r="C25" s="27" t="s">
        <v>311</v>
      </c>
      <c r="D25" s="29">
        <f>63.9+10.4</f>
        <v>74.3</v>
      </c>
      <c r="E25" s="27" t="s">
        <v>28</v>
      </c>
      <c r="I25"/>
    </row>
    <row r="26" spans="1:9" ht="30" customHeight="1" x14ac:dyDescent="0.25">
      <c r="A26" s="39" t="str">
        <f>'PLANILHA ORÇAMENTARIA'!C26</f>
        <v>3.7</v>
      </c>
      <c r="B26" s="39" t="str">
        <f>'PLANILHA ORÇAMENTARIA'!D26</f>
        <v>ARMAÇÃO DE BLOCO, VIGA BALDRAME OU SAPATA UTILIZANDO AÇO CA-50 DE 10 MM - MONTAGEM. AF_06/2017</v>
      </c>
      <c r="C26" s="27" t="s">
        <v>311</v>
      </c>
      <c r="D26" s="29">
        <f>32.2+46.9</f>
        <v>79.099999999999994</v>
      </c>
      <c r="E26" s="27" t="s">
        <v>28</v>
      </c>
      <c r="I26"/>
    </row>
    <row r="27" spans="1:9" ht="30" customHeight="1" x14ac:dyDescent="0.25">
      <c r="A27" s="39" t="str">
        <f>'PLANILHA ORÇAMENTARIA'!C27</f>
        <v>3.8</v>
      </c>
      <c r="B27" s="39" t="str">
        <f>'PLANILHA ORÇAMENTARIA'!D27</f>
        <v>ARMAÇÃO DE BLOCO, VIGA BALDRAME OU SAPATA UTILIZANDO AÇO CA-50 DE 12,5 MM - MONTAGEM. AF_06/2017</v>
      </c>
      <c r="C27" s="27" t="s">
        <v>311</v>
      </c>
      <c r="D27" s="29">
        <f>81.4</f>
        <v>81.400000000000006</v>
      </c>
      <c r="E27" s="27" t="s">
        <v>28</v>
      </c>
      <c r="I27"/>
    </row>
    <row r="28" spans="1:9" ht="30" customHeight="1" x14ac:dyDescent="0.25">
      <c r="A28" s="39" t="str">
        <f>'PLANILHA ORÇAMENTARIA'!C28</f>
        <v>3.9</v>
      </c>
      <c r="B28" s="39" t="str">
        <f>'PLANILHA ORÇAMENTARIA'!D28</f>
        <v>ARMAÇÃO DE BLOCO, VIGA BALDRAME OU SAPATA UTILIZANDO AÇO CA-50 DE 16 MM - MONTAGEM. AF_06/2017</v>
      </c>
      <c r="C28" s="27" t="s">
        <v>311</v>
      </c>
      <c r="D28" s="29">
        <v>93.9</v>
      </c>
      <c r="E28" s="27" t="s">
        <v>28</v>
      </c>
      <c r="I28"/>
    </row>
    <row r="29" spans="1:9" ht="30" customHeight="1" x14ac:dyDescent="0.25">
      <c r="A29" s="39" t="str">
        <f>'PLANILHA ORÇAMENTARIA'!C29</f>
        <v>3.10</v>
      </c>
      <c r="B29" s="39" t="str">
        <f>'PLANILHA ORÇAMENTARIA'!D29</f>
        <v>ARMAÇÃO DE PILAR OU VIGA DE ESTRUTURA DE CONCRETO ARMADO EMBUTIDA EM ALVENARIA DE VEDAÇÃO UTILIZANDO AÇO CA-60 DE 5,0 MM - MONTAGEM. AF_06/2022</v>
      </c>
      <c r="C29" s="27" t="s">
        <v>311</v>
      </c>
      <c r="D29" s="29">
        <v>54.7</v>
      </c>
      <c r="E29" s="27" t="s">
        <v>28</v>
      </c>
      <c r="I29"/>
    </row>
    <row r="30" spans="1:9" x14ac:dyDescent="0.25">
      <c r="A30" s="92" t="s">
        <v>43</v>
      </c>
      <c r="B30" s="92" t="s">
        <v>101</v>
      </c>
      <c r="C30" s="92"/>
      <c r="D30" s="92"/>
      <c r="E30" s="92"/>
      <c r="I30"/>
    </row>
    <row r="31" spans="1:9" ht="30" customHeight="1" x14ac:dyDescent="0.25">
      <c r="A31" s="3" t="s">
        <v>137</v>
      </c>
      <c r="B31" s="28" t="s">
        <v>77</v>
      </c>
      <c r="C31" s="27" t="s">
        <v>311</v>
      </c>
      <c r="D31" s="29">
        <f>0.3+0.9</f>
        <v>1.2</v>
      </c>
      <c r="E31" s="27" t="s">
        <v>23</v>
      </c>
      <c r="I31"/>
    </row>
    <row r="32" spans="1:9" ht="30" customHeight="1" x14ac:dyDescent="0.25">
      <c r="A32" s="3" t="s">
        <v>138</v>
      </c>
      <c r="B32" s="28" t="s">
        <v>78</v>
      </c>
      <c r="C32" s="27" t="s">
        <v>311</v>
      </c>
      <c r="D32" s="29">
        <f>6.4+19.2</f>
        <v>25.6</v>
      </c>
      <c r="E32" s="27" t="s">
        <v>22</v>
      </c>
      <c r="I32"/>
    </row>
    <row r="33" spans="1:9" ht="30" customHeight="1" x14ac:dyDescent="0.25">
      <c r="A33" s="3" t="s">
        <v>139</v>
      </c>
      <c r="B33" s="28" t="s">
        <v>194</v>
      </c>
      <c r="C33" s="27" t="s">
        <v>311</v>
      </c>
      <c r="D33" s="29">
        <f>32.2+40.6</f>
        <v>72.800000000000011</v>
      </c>
      <c r="E33" s="27" t="s">
        <v>28</v>
      </c>
      <c r="I33"/>
    </row>
    <row r="34" spans="1:9" ht="30" customHeight="1" x14ac:dyDescent="0.25">
      <c r="A34" s="3" t="s">
        <v>246</v>
      </c>
      <c r="B34" s="28" t="s">
        <v>289</v>
      </c>
      <c r="C34" s="27" t="s">
        <v>311</v>
      </c>
      <c r="D34" s="29">
        <f>50.4+53.4</f>
        <v>103.8</v>
      </c>
      <c r="E34" s="27" t="s">
        <v>28</v>
      </c>
      <c r="I34"/>
    </row>
    <row r="35" spans="1:9" ht="30" customHeight="1" x14ac:dyDescent="0.25">
      <c r="A35" s="3" t="s">
        <v>288</v>
      </c>
      <c r="B35" s="28" t="s">
        <v>183</v>
      </c>
      <c r="C35" s="27" t="s">
        <v>311</v>
      </c>
      <c r="D35" s="29">
        <f>20.4+7.3</f>
        <v>27.7</v>
      </c>
      <c r="E35" s="27" t="s">
        <v>28</v>
      </c>
      <c r="I35"/>
    </row>
    <row r="36" spans="1:9" x14ac:dyDescent="0.25">
      <c r="A36" s="92" t="s">
        <v>44</v>
      </c>
      <c r="B36" s="92" t="s">
        <v>102</v>
      </c>
      <c r="C36" s="92"/>
      <c r="D36" s="92"/>
      <c r="E36" s="92"/>
      <c r="I36"/>
    </row>
    <row r="37" spans="1:9" ht="30" customHeight="1" x14ac:dyDescent="0.25">
      <c r="A37" s="3" t="s">
        <v>80</v>
      </c>
      <c r="B37" s="33" t="s">
        <v>185</v>
      </c>
      <c r="C37" s="27" t="s">
        <v>311</v>
      </c>
      <c r="D37" s="29">
        <v>1.5</v>
      </c>
      <c r="E37" s="27" t="s">
        <v>23</v>
      </c>
      <c r="I37"/>
    </row>
    <row r="38" spans="1:9" ht="30" customHeight="1" x14ac:dyDescent="0.25">
      <c r="A38" s="3" t="s">
        <v>105</v>
      </c>
      <c r="B38" s="33" t="s">
        <v>184</v>
      </c>
      <c r="C38" s="27" t="s">
        <v>311</v>
      </c>
      <c r="D38" s="29">
        <v>28.4</v>
      </c>
      <c r="E38" s="27" t="s">
        <v>22</v>
      </c>
      <c r="I38"/>
    </row>
    <row r="39" spans="1:9" ht="30" customHeight="1" x14ac:dyDescent="0.25">
      <c r="A39" s="3" t="s">
        <v>106</v>
      </c>
      <c r="B39" s="33" t="s">
        <v>182</v>
      </c>
      <c r="C39" s="27" t="s">
        <v>311</v>
      </c>
      <c r="D39" s="29">
        <v>93</v>
      </c>
      <c r="E39" s="27" t="s">
        <v>28</v>
      </c>
      <c r="I39"/>
    </row>
    <row r="40" spans="1:9" ht="30" customHeight="1" x14ac:dyDescent="0.25">
      <c r="A40" s="3" t="s">
        <v>107</v>
      </c>
      <c r="B40" s="33" t="s">
        <v>183</v>
      </c>
      <c r="C40" s="27" t="s">
        <v>311</v>
      </c>
      <c r="D40" s="29">
        <v>59.8</v>
      </c>
      <c r="E40" s="27" t="s">
        <v>28</v>
      </c>
      <c r="I40"/>
    </row>
    <row r="41" spans="1:9" x14ac:dyDescent="0.25">
      <c r="A41" s="92" t="s">
        <v>45</v>
      </c>
      <c r="B41" s="92" t="s">
        <v>104</v>
      </c>
      <c r="C41" s="92"/>
      <c r="D41" s="92"/>
      <c r="E41" s="92"/>
      <c r="I41"/>
    </row>
    <row r="42" spans="1:9" ht="30" customHeight="1" x14ac:dyDescent="0.25">
      <c r="A42" s="3" t="s">
        <v>46</v>
      </c>
      <c r="B42" s="28" t="s">
        <v>186</v>
      </c>
      <c r="C42" s="27" t="s">
        <v>311</v>
      </c>
      <c r="D42" s="29">
        <f>MEMCALFUND!F51</f>
        <v>28.796000000000003</v>
      </c>
      <c r="E42" s="30" t="s">
        <v>22</v>
      </c>
      <c r="I42"/>
    </row>
    <row r="43" spans="1:9" x14ac:dyDescent="0.25">
      <c r="A43" s="92" t="s">
        <v>47</v>
      </c>
      <c r="B43" s="92" t="s">
        <v>199</v>
      </c>
      <c r="C43" s="92"/>
      <c r="D43" s="92"/>
      <c r="E43" s="11"/>
      <c r="I43"/>
    </row>
    <row r="44" spans="1:9" ht="30" customHeight="1" x14ac:dyDescent="0.25">
      <c r="A44" s="3" t="s">
        <v>146</v>
      </c>
      <c r="B44" s="28" t="s">
        <v>200</v>
      </c>
      <c r="C44" s="110" t="s">
        <v>312</v>
      </c>
      <c r="D44" s="29">
        <f>'PLANILHA ORÇAMENTARIA'!F44</f>
        <v>136.71</v>
      </c>
      <c r="E44" s="30" t="s">
        <v>22</v>
      </c>
      <c r="I44"/>
    </row>
    <row r="45" spans="1:9" ht="30" customHeight="1" x14ac:dyDescent="0.25">
      <c r="A45" s="3" t="s">
        <v>599</v>
      </c>
      <c r="B45" s="28" t="s">
        <v>201</v>
      </c>
      <c r="C45" s="110" t="s">
        <v>312</v>
      </c>
      <c r="D45" s="29">
        <f>'PLANILHA ORÇAMENTARIA'!F45</f>
        <v>273.42</v>
      </c>
      <c r="E45" s="30" t="s">
        <v>22</v>
      </c>
      <c r="I45"/>
    </row>
    <row r="46" spans="1:9" ht="30" customHeight="1" x14ac:dyDescent="0.25">
      <c r="A46" s="3" t="s">
        <v>600</v>
      </c>
      <c r="B46" s="28" t="s">
        <v>202</v>
      </c>
      <c r="C46" s="110" t="s">
        <v>312</v>
      </c>
      <c r="D46" s="29">
        <f>'PLANILHA ORÇAMENTARIA'!F46</f>
        <v>273.42</v>
      </c>
      <c r="E46" s="30" t="s">
        <v>22</v>
      </c>
      <c r="I46"/>
    </row>
    <row r="47" spans="1:9" ht="14.25" customHeight="1" x14ac:dyDescent="0.25">
      <c r="A47" s="92" t="s">
        <v>48</v>
      </c>
      <c r="B47" s="92" t="s">
        <v>203</v>
      </c>
      <c r="C47" s="92"/>
      <c r="D47" s="92"/>
      <c r="E47" s="11"/>
      <c r="I47"/>
    </row>
    <row r="48" spans="1:9" ht="30" customHeight="1" x14ac:dyDescent="0.25">
      <c r="A48" s="3" t="s">
        <v>147</v>
      </c>
      <c r="B48" s="28" t="s">
        <v>96</v>
      </c>
      <c r="C48" s="110" t="s">
        <v>313</v>
      </c>
      <c r="D48" s="29">
        <f>'PLANILHA ORÇAMENTARIA'!F48</f>
        <v>200.79</v>
      </c>
      <c r="E48" s="30" t="s">
        <v>22</v>
      </c>
      <c r="I48"/>
    </row>
    <row r="49" spans="1:9" ht="30" customHeight="1" x14ac:dyDescent="0.25">
      <c r="A49" s="3" t="s">
        <v>148</v>
      </c>
      <c r="B49" s="28" t="s">
        <v>204</v>
      </c>
      <c r="C49" s="110" t="s">
        <v>313</v>
      </c>
      <c r="D49" s="29">
        <f>'PLANILHA ORÇAMENTARIA'!F49</f>
        <v>118.62</v>
      </c>
      <c r="E49" s="30" t="s">
        <v>22</v>
      </c>
      <c r="I49"/>
    </row>
    <row r="50" spans="1:9" ht="30" customHeight="1" x14ac:dyDescent="0.25">
      <c r="A50" s="3" t="s">
        <v>149</v>
      </c>
      <c r="B50" s="28" t="s">
        <v>205</v>
      </c>
      <c r="C50" s="110" t="s">
        <v>313</v>
      </c>
      <c r="D50" s="29">
        <f>'PLANILHA ORÇAMENTARIA'!F50</f>
        <v>149.69999999999999</v>
      </c>
      <c r="E50" s="30" t="s">
        <v>22</v>
      </c>
      <c r="I50"/>
    </row>
    <row r="51" spans="1:9" ht="30" customHeight="1" x14ac:dyDescent="0.25">
      <c r="A51" s="3" t="s">
        <v>372</v>
      </c>
      <c r="B51" s="28" t="s">
        <v>431</v>
      </c>
      <c r="C51" s="110" t="s">
        <v>313</v>
      </c>
      <c r="D51" s="29">
        <f>'PLANILHA ORÇAMENTARIA'!F51</f>
        <v>3941.2999999999988</v>
      </c>
      <c r="E51" s="30" t="s">
        <v>22</v>
      </c>
      <c r="I51"/>
    </row>
    <row r="52" spans="1:9" ht="30" customHeight="1" x14ac:dyDescent="0.25">
      <c r="A52" s="3" t="s">
        <v>601</v>
      </c>
      <c r="B52" s="28" t="s">
        <v>432</v>
      </c>
      <c r="C52" s="110" t="s">
        <v>313</v>
      </c>
      <c r="D52" s="29">
        <f>'PLANILHA ORÇAMENTARIA'!F52</f>
        <v>1680.48</v>
      </c>
      <c r="E52" s="30" t="s">
        <v>22</v>
      </c>
      <c r="I52"/>
    </row>
    <row r="53" spans="1:9" ht="30" customHeight="1" x14ac:dyDescent="0.25">
      <c r="A53" s="3" t="s">
        <v>602</v>
      </c>
      <c r="B53" s="28" t="s">
        <v>206</v>
      </c>
      <c r="C53" s="110" t="s">
        <v>313</v>
      </c>
      <c r="D53" s="29">
        <f>'PLANILHA ORÇAMENTARIA'!F53</f>
        <v>5180.7</v>
      </c>
      <c r="E53" s="30" t="s">
        <v>22</v>
      </c>
      <c r="I53"/>
    </row>
    <row r="54" spans="1:9" x14ac:dyDescent="0.25">
      <c r="A54" s="92" t="s">
        <v>49</v>
      </c>
      <c r="B54" s="92" t="s">
        <v>207</v>
      </c>
      <c r="C54" s="92"/>
      <c r="D54" s="92"/>
      <c r="E54" s="11"/>
      <c r="I54"/>
    </row>
    <row r="55" spans="1:9" ht="30" customHeight="1" x14ac:dyDescent="0.25">
      <c r="A55" s="3" t="s">
        <v>50</v>
      </c>
      <c r="B55" s="28" t="s">
        <v>208</v>
      </c>
      <c r="C55" s="110" t="s">
        <v>314</v>
      </c>
      <c r="D55" s="29">
        <f>'PLANILHA ORÇAMENTARIA'!F55</f>
        <v>2648.8300000000004</v>
      </c>
      <c r="E55" s="27" t="s">
        <v>22</v>
      </c>
      <c r="I55"/>
    </row>
    <row r="56" spans="1:9" ht="30" customHeight="1" x14ac:dyDescent="0.25">
      <c r="A56" s="3" t="s">
        <v>111</v>
      </c>
      <c r="B56" s="28" t="s">
        <v>384</v>
      </c>
      <c r="C56" s="110" t="s">
        <v>314</v>
      </c>
      <c r="D56" s="29">
        <f>'PLANILHA ORÇAMENTARIA'!F56</f>
        <v>2648.8300000000004</v>
      </c>
      <c r="E56" s="27" t="s">
        <v>22</v>
      </c>
      <c r="I56"/>
    </row>
    <row r="57" spans="1:9" ht="30" customHeight="1" x14ac:dyDescent="0.25">
      <c r="A57" s="3" t="s">
        <v>145</v>
      </c>
      <c r="B57" s="28" t="s">
        <v>609</v>
      </c>
      <c r="C57" s="27" t="s">
        <v>319</v>
      </c>
      <c r="D57" s="29">
        <f>'PLANILHA ORÇAMENTARIA'!F57</f>
        <v>4</v>
      </c>
      <c r="E57" s="27" t="s">
        <v>31</v>
      </c>
      <c r="I57"/>
    </row>
    <row r="58" spans="1:9" ht="30" customHeight="1" x14ac:dyDescent="0.25">
      <c r="A58" s="358" t="str">
        <f>'PLANILHA ORÇAMENTARIA'!C58</f>
        <v>9.4</v>
      </c>
      <c r="B58" s="357" t="str">
        <f>'PLANILHA ORÇAMENTARIA'!D58</f>
        <v>FABRICAÇÃO E INSTALAÇÃO DE TESOURA INTEIRA EM AÇO, VÃO DE 4 M, PARA TELHA ONDULADA DE FIBROCIMENTO, METÁLICA, PLÁSTICA OU TERMOACÚSTICA, INCLUSO IÇAMENTO. AF_12/2015</v>
      </c>
      <c r="C58" s="27" t="s">
        <v>879</v>
      </c>
      <c r="D58" s="29">
        <f>'PLANILHA ORÇAMENTARIA'!F58</f>
        <v>6</v>
      </c>
      <c r="E58" s="27" t="s">
        <v>31</v>
      </c>
      <c r="I58"/>
    </row>
    <row r="59" spans="1:9" ht="30" customHeight="1" x14ac:dyDescent="0.25">
      <c r="A59" s="358" t="str">
        <f>'PLANILHA ORÇAMENTARIA'!C59</f>
        <v>9.5</v>
      </c>
      <c r="B59" s="357" t="str">
        <f>'PLANILHA ORÇAMENTARIA'!D59</f>
        <v>FABRICAÇÃO E INSTALAÇÃO DE TESOURA INTEIRA EM AÇO, VÃO DE 6 M, PARA TELHA ONDULADA DE FIBROCIMENTO, METÁLICA, PLÁSTICA OU TERMOACÚSTICA, INCLUSO IÇAMENTO. AF_12/2015</v>
      </c>
      <c r="C59" s="27" t="s">
        <v>879</v>
      </c>
      <c r="D59" s="29">
        <f>'PLANILHA ORÇAMENTARIA'!F59</f>
        <v>6</v>
      </c>
      <c r="E59" s="27" t="s">
        <v>31</v>
      </c>
      <c r="I59"/>
    </row>
    <row r="60" spans="1:9" ht="30" customHeight="1" x14ac:dyDescent="0.25">
      <c r="A60" s="358" t="str">
        <f>'PLANILHA ORÇAMENTARIA'!C60</f>
        <v>9.6</v>
      </c>
      <c r="B60" s="357" t="str">
        <f>'PLANILHA ORÇAMENTARIA'!D60</f>
        <v>FABRICAÇÃO E INSTALAÇÃO DE TESOURA INTEIRA EM AÇO, VÃO DE 17 M, PARA TELHA ONDULADA DE FIBROCIMENTO, METÁLICA, PLÁSTICA OU TERMOACÚSTICA, INCLUSO IÇAMENTO.</v>
      </c>
      <c r="C60" s="27" t="s">
        <v>880</v>
      </c>
      <c r="D60" s="29">
        <f>'PLANILHA ORÇAMENTARIA'!F60</f>
        <v>15</v>
      </c>
      <c r="E60" s="27" t="s">
        <v>31</v>
      </c>
      <c r="I60"/>
    </row>
    <row r="61" spans="1:9" ht="45" customHeight="1" x14ac:dyDescent="0.25">
      <c r="A61" s="358" t="str">
        <f>'PLANILHA ORÇAMENTARIA'!C61</f>
        <v>9.7</v>
      </c>
      <c r="B61" s="357" t="str">
        <f>'PLANILHA ORÇAMENTARIA'!D61</f>
        <v>FABRICAÇÃO E INSTALAÇÃO DE TESOURA INTEIRA EM AÇO, VÃO DE 8 M, PARA TELHA ONDULADA DE FIBROCIMENTO, METÁLICA, PLÁSTICA OU TERMOACÚSTICA, INCLUSO IÇAMENTO, INCLUSO IÇAMENTO. AF_12/2015</v>
      </c>
      <c r="C61" s="110" t="s">
        <v>884</v>
      </c>
      <c r="D61" s="29">
        <f>'PLANILHA ORÇAMENTARIA'!F61</f>
        <v>20</v>
      </c>
      <c r="E61" s="27" t="s">
        <v>31</v>
      </c>
      <c r="I61"/>
    </row>
    <row r="62" spans="1:9" ht="30" customHeight="1" x14ac:dyDescent="0.25">
      <c r="A62" s="358" t="str">
        <f>'PLANILHA ORÇAMENTARIA'!C62</f>
        <v>9.8</v>
      </c>
      <c r="B62" s="357" t="str">
        <f>'PLANILHA ORÇAMENTARIA'!D62</f>
        <v>FABRICAÇÃO E INSTALAÇÃO DE TESOURA INTEIRA EM AÇO, VÃO DE 12 M, PARA TELHA ONDULADA DE FIBROCIMENTO, METÁLICA, PLÁSTICA OU TERMOACÚSTICA, INCLUSO IÇAMENTO. AF_12/2015</v>
      </c>
      <c r="C62" s="27" t="s">
        <v>881</v>
      </c>
      <c r="D62" s="29">
        <f>'PLANILHA ORÇAMENTARIA'!F62</f>
        <v>13</v>
      </c>
      <c r="E62" s="27" t="s">
        <v>31</v>
      </c>
      <c r="I62"/>
    </row>
    <row r="63" spans="1:9" ht="30" customHeight="1" x14ac:dyDescent="0.25">
      <c r="A63" s="358" t="str">
        <f>'PLANILHA ORÇAMENTARIA'!C63</f>
        <v>9.9</v>
      </c>
      <c r="B63" s="357" t="str">
        <f>'PLANILHA ORÇAMENTARIA'!D63</f>
        <v>FABRICAÇÃO E INSTALAÇÃO DE TESOURA INTEIRA EM AÇO, VÃO DE 11 M, PARA TELHA ONDULADA DE FIBROCIMENTO, METÁLICA, PLÁSTICA OU TERMOACÚSTICA, INCLUSO IÇAMENTO. AF_12/2015</v>
      </c>
      <c r="C63" s="27" t="s">
        <v>881</v>
      </c>
      <c r="D63" s="29">
        <f>'PLANILHA ORÇAMENTARIA'!F63</f>
        <v>13</v>
      </c>
      <c r="E63" s="27" t="s">
        <v>31</v>
      </c>
      <c r="I63"/>
    </row>
    <row r="64" spans="1:9" ht="45" customHeight="1" x14ac:dyDescent="0.25">
      <c r="A64" s="358" t="str">
        <f>'PLANILHA ORÇAMENTARIA'!C64</f>
        <v>9.10</v>
      </c>
      <c r="B64" s="357" t="str">
        <f>'PLANILHA ORÇAMENTARIA'!D64</f>
        <v>FABRICAÇÃO E INSTALAÇÃO DE TESOURA INTEIRA EM AÇO, VÃO DE 5 M, PARA TELHA ONDULADA DE FIBROCIMENTO, METÁLICA, PLÁSTICA OU TERMOACÚSTICA, INCLUSO IÇAMENTO. AF_12/2015</v>
      </c>
      <c r="C64" s="110" t="s">
        <v>882</v>
      </c>
      <c r="D64" s="29">
        <f>'PLANILHA ORÇAMENTARIA'!F64</f>
        <v>9</v>
      </c>
      <c r="E64" s="27" t="s">
        <v>31</v>
      </c>
      <c r="I64"/>
    </row>
    <row r="65" spans="1:9" ht="45" customHeight="1" x14ac:dyDescent="0.25">
      <c r="A65" s="358" t="str">
        <f>'PLANILHA ORÇAMENTARIA'!C65</f>
        <v>9.11</v>
      </c>
      <c r="B65" s="357" t="str">
        <f>'PLANILHA ORÇAMENTARIA'!D65</f>
        <v>FABRICAÇÃO E INSTALAÇÃO DE TESOURA INTEIRA EM AÇO, VÃO DE 9 M, PARA TELHA ONDULADA DE FIBROCIMENTO, METÁLICA, PLÁSTICA OU TERMOACÚSTICA, INCLUSO IÇAMENTO. AF_12/2015</v>
      </c>
      <c r="C65" s="110" t="s">
        <v>883</v>
      </c>
      <c r="D65" s="29">
        <f>'PLANILHA ORÇAMENTARIA'!F65</f>
        <v>13</v>
      </c>
      <c r="E65" s="27" t="s">
        <v>31</v>
      </c>
      <c r="I65"/>
    </row>
    <row r="66" spans="1:9" ht="30" customHeight="1" x14ac:dyDescent="0.25">
      <c r="A66" s="358" t="str">
        <f>'PLANILHA ORÇAMENTARIA'!C66</f>
        <v>9.12</v>
      </c>
      <c r="B66" s="28" t="s">
        <v>209</v>
      </c>
      <c r="C66" s="110" t="s">
        <v>314</v>
      </c>
      <c r="D66" s="29">
        <f>'PLANILHA ORÇAMENTARIA'!F66</f>
        <v>79.399999999999991</v>
      </c>
      <c r="E66" s="27" t="s">
        <v>24</v>
      </c>
      <c r="I66"/>
    </row>
    <row r="67" spans="1:9" ht="30" customHeight="1" x14ac:dyDescent="0.25">
      <c r="A67" s="358" t="str">
        <f>'PLANILHA ORÇAMENTARIA'!C67</f>
        <v>9.13</v>
      </c>
      <c r="B67" s="28" t="s">
        <v>210</v>
      </c>
      <c r="C67" s="110" t="s">
        <v>314</v>
      </c>
      <c r="D67" s="29">
        <f>'PLANILHA ORÇAMENTARIA'!F67</f>
        <v>523.50999999999988</v>
      </c>
      <c r="E67" s="27" t="s">
        <v>24</v>
      </c>
      <c r="I67"/>
    </row>
    <row r="68" spans="1:9" ht="30" customHeight="1" x14ac:dyDescent="0.25">
      <c r="A68" s="358" t="str">
        <f>'PLANILHA ORÇAMENTARIA'!C68</f>
        <v>9.14</v>
      </c>
      <c r="B68" s="28" t="s">
        <v>211</v>
      </c>
      <c r="C68" s="110" t="s">
        <v>314</v>
      </c>
      <c r="D68" s="29">
        <f>'PLANILHA ORÇAMENTARIA'!F68</f>
        <v>624.83000000000004</v>
      </c>
      <c r="E68" s="27" t="s">
        <v>24</v>
      </c>
      <c r="I68"/>
    </row>
    <row r="69" spans="1:9" ht="30" customHeight="1" x14ac:dyDescent="0.25">
      <c r="A69" s="358" t="str">
        <f>'PLANILHA ORÇAMENTARIA'!C69</f>
        <v>9.15</v>
      </c>
      <c r="B69" s="28" t="s">
        <v>236</v>
      </c>
      <c r="C69" s="110" t="s">
        <v>314</v>
      </c>
      <c r="D69" s="29">
        <f>'PLANILHA ORÇAMENTARIA'!F69</f>
        <v>2198.9899999999993</v>
      </c>
      <c r="E69" s="27" t="s">
        <v>24</v>
      </c>
      <c r="I69"/>
    </row>
    <row r="70" spans="1:9" x14ac:dyDescent="0.25">
      <c r="A70" s="92" t="s">
        <v>51</v>
      </c>
      <c r="B70" s="92" t="s">
        <v>212</v>
      </c>
      <c r="C70" s="92"/>
      <c r="D70" s="92"/>
      <c r="E70" s="11"/>
      <c r="I70"/>
    </row>
    <row r="71" spans="1:9" ht="30" customHeight="1" x14ac:dyDescent="0.25">
      <c r="A71" s="3" t="s">
        <v>81</v>
      </c>
      <c r="B71" s="28" t="s">
        <v>243</v>
      </c>
      <c r="C71" s="110" t="s">
        <v>315</v>
      </c>
      <c r="D71" s="29">
        <f>'PLANILHA ORÇAMENTARIA'!F71</f>
        <v>1603.96</v>
      </c>
      <c r="E71" s="27" t="s">
        <v>22</v>
      </c>
      <c r="I71"/>
    </row>
    <row r="72" spans="1:9" ht="30" customHeight="1" x14ac:dyDescent="0.25">
      <c r="A72" s="3" t="s">
        <v>140</v>
      </c>
      <c r="B72" s="28" t="s">
        <v>213</v>
      </c>
      <c r="C72" s="110" t="s">
        <v>315</v>
      </c>
      <c r="D72" s="29">
        <f>'PLANILHA ORÇAMENTARIA'!F72</f>
        <v>1949.0000000000002</v>
      </c>
      <c r="E72" s="27" t="s">
        <v>22</v>
      </c>
      <c r="I72"/>
    </row>
    <row r="73" spans="1:9" ht="30" customHeight="1" x14ac:dyDescent="0.25">
      <c r="A73" s="3" t="s">
        <v>141</v>
      </c>
      <c r="B73" s="28" t="s">
        <v>469</v>
      </c>
      <c r="C73" s="110" t="s">
        <v>315</v>
      </c>
      <c r="D73" s="29">
        <f>'PLANILHA ORÇAMENTARIA'!F73</f>
        <v>3599.16</v>
      </c>
      <c r="E73" s="27" t="s">
        <v>22</v>
      </c>
      <c r="I73"/>
    </row>
    <row r="74" spans="1:9" ht="30" customHeight="1" x14ac:dyDescent="0.25">
      <c r="A74" s="3" t="s">
        <v>142</v>
      </c>
      <c r="B74" s="28" t="s">
        <v>472</v>
      </c>
      <c r="C74" s="110" t="s">
        <v>315</v>
      </c>
      <c r="D74" s="29">
        <f>'PLANILHA ORÇAMENTARIA'!F74</f>
        <v>270.89999999999998</v>
      </c>
      <c r="E74" s="27" t="s">
        <v>22</v>
      </c>
      <c r="I74"/>
    </row>
    <row r="75" spans="1:9" ht="30" customHeight="1" x14ac:dyDescent="0.25">
      <c r="A75" s="3" t="s">
        <v>607</v>
      </c>
      <c r="B75" s="28" t="s">
        <v>483</v>
      </c>
      <c r="C75" s="110" t="s">
        <v>315</v>
      </c>
      <c r="D75" s="29">
        <f>'PLANILHA ORÇAMENTARIA'!F75</f>
        <v>320.45890000000003</v>
      </c>
      <c r="E75" s="27" t="s">
        <v>22</v>
      </c>
      <c r="I75"/>
    </row>
    <row r="76" spans="1:9" x14ac:dyDescent="0.25">
      <c r="A76" s="92" t="s">
        <v>52</v>
      </c>
      <c r="B76" s="92" t="s">
        <v>214</v>
      </c>
      <c r="C76" s="92"/>
      <c r="D76" s="92"/>
      <c r="E76" s="11"/>
      <c r="I76"/>
    </row>
    <row r="77" spans="1:9" x14ac:dyDescent="0.25">
      <c r="A77" s="3" t="s">
        <v>82</v>
      </c>
      <c r="B77" s="58" t="s">
        <v>215</v>
      </c>
      <c r="C77" s="34"/>
      <c r="D77" s="59"/>
      <c r="E77" s="30"/>
      <c r="I77"/>
    </row>
    <row r="78" spans="1:9" ht="30" customHeight="1" x14ac:dyDescent="0.25">
      <c r="A78" s="3" t="s">
        <v>608</v>
      </c>
      <c r="B78" s="33" t="s">
        <v>216</v>
      </c>
      <c r="C78" s="110" t="s">
        <v>316</v>
      </c>
      <c r="D78" s="29">
        <f>'PLANILHA ORÇAMENTARIA'!F78</f>
        <v>127.92</v>
      </c>
      <c r="E78" s="27" t="s">
        <v>22</v>
      </c>
      <c r="I78"/>
    </row>
    <row r="79" spans="1:9" ht="30" customHeight="1" x14ac:dyDescent="0.25">
      <c r="A79" s="3" t="s">
        <v>610</v>
      </c>
      <c r="B79" s="28" t="s">
        <v>391</v>
      </c>
      <c r="C79" s="110" t="s">
        <v>316</v>
      </c>
      <c r="D79" s="29">
        <f>'PLANILHA ORÇAMENTARIA'!F79</f>
        <v>2.52</v>
      </c>
      <c r="E79" s="27" t="s">
        <v>22</v>
      </c>
      <c r="I79"/>
    </row>
    <row r="80" spans="1:9" ht="30" customHeight="1" x14ac:dyDescent="0.25">
      <c r="A80" s="3" t="s">
        <v>611</v>
      </c>
      <c r="B80" s="111" t="s">
        <v>217</v>
      </c>
      <c r="C80" s="110" t="s">
        <v>316</v>
      </c>
      <c r="D80" s="29">
        <f>'PLANILHA ORÇAMENTARIA'!F80</f>
        <v>130.43999999999997</v>
      </c>
      <c r="E80" s="27" t="s">
        <v>22</v>
      </c>
      <c r="I80"/>
    </row>
    <row r="81" spans="1:9" x14ac:dyDescent="0.25">
      <c r="A81" s="3" t="s">
        <v>83</v>
      </c>
      <c r="B81" s="58" t="s">
        <v>218</v>
      </c>
      <c r="C81" s="31"/>
      <c r="D81" s="29"/>
      <c r="E81" s="27"/>
      <c r="I81"/>
    </row>
    <row r="82" spans="1:9" ht="30" customHeight="1" x14ac:dyDescent="0.25">
      <c r="A82" s="3" t="s">
        <v>741</v>
      </c>
      <c r="B82" s="33" t="s">
        <v>219</v>
      </c>
      <c r="C82" s="110" t="s">
        <v>316</v>
      </c>
      <c r="D82" s="29">
        <f>'PLANILHA ORÇAMENTARIA'!F82</f>
        <v>108.57000000000001</v>
      </c>
      <c r="E82" s="27" t="s">
        <v>22</v>
      </c>
      <c r="I82"/>
    </row>
    <row r="83" spans="1:9" ht="30" customHeight="1" x14ac:dyDescent="0.25">
      <c r="A83" s="3" t="s">
        <v>742</v>
      </c>
      <c r="B83" s="28" t="s">
        <v>383</v>
      </c>
      <c r="C83" s="110" t="s">
        <v>316</v>
      </c>
      <c r="D83" s="29">
        <f>'PLANILHA ORÇAMENTARIA'!F83</f>
        <v>126.21000000000001</v>
      </c>
      <c r="E83" s="27" t="s">
        <v>22</v>
      </c>
      <c r="I83"/>
    </row>
    <row r="84" spans="1:9" ht="30" customHeight="1" x14ac:dyDescent="0.25">
      <c r="A84" s="3" t="s">
        <v>743</v>
      </c>
      <c r="B84" s="33" t="s">
        <v>220</v>
      </c>
      <c r="C84" s="110" t="s">
        <v>316</v>
      </c>
      <c r="D84" s="29">
        <f>'PLANILHA ORÇAMENTARIA'!F84</f>
        <v>17.64</v>
      </c>
      <c r="E84" s="27" t="s">
        <v>22</v>
      </c>
      <c r="I84"/>
    </row>
    <row r="85" spans="1:9" x14ac:dyDescent="0.25">
      <c r="A85" s="92" t="s">
        <v>53</v>
      </c>
      <c r="B85" s="92" t="s">
        <v>108</v>
      </c>
      <c r="C85" s="92"/>
      <c r="D85" s="92"/>
      <c r="E85" s="92"/>
      <c r="I85"/>
    </row>
    <row r="86" spans="1:9" ht="30" customHeight="1" x14ac:dyDescent="0.25">
      <c r="A86" s="3" t="s">
        <v>89</v>
      </c>
      <c r="B86" s="28" t="s">
        <v>749</v>
      </c>
      <c r="C86" s="3" t="s">
        <v>317</v>
      </c>
      <c r="D86" s="4">
        <v>2</v>
      </c>
      <c r="E86" s="333" t="s">
        <v>327</v>
      </c>
      <c r="I86"/>
    </row>
    <row r="87" spans="1:9" ht="30" customHeight="1" x14ac:dyDescent="0.25">
      <c r="A87" s="3" t="s">
        <v>143</v>
      </c>
      <c r="B87" s="28" t="s">
        <v>750</v>
      </c>
      <c r="C87" s="3" t="s">
        <v>317</v>
      </c>
      <c r="D87" s="4">
        <v>5</v>
      </c>
      <c r="E87" s="333" t="s">
        <v>327</v>
      </c>
      <c r="I87"/>
    </row>
    <row r="88" spans="1:9" ht="30" customHeight="1" x14ac:dyDescent="0.25">
      <c r="A88" s="3" t="s">
        <v>470</v>
      </c>
      <c r="B88" s="28" t="s">
        <v>751</v>
      </c>
      <c r="C88" s="3" t="s">
        <v>317</v>
      </c>
      <c r="D88" s="4">
        <v>7</v>
      </c>
      <c r="E88" s="333" t="s">
        <v>24</v>
      </c>
      <c r="I88"/>
    </row>
    <row r="89" spans="1:9" ht="30" customHeight="1" x14ac:dyDescent="0.25">
      <c r="A89" s="3" t="s">
        <v>471</v>
      </c>
      <c r="B89" s="28" t="s">
        <v>756</v>
      </c>
      <c r="C89" s="3" t="s">
        <v>317</v>
      </c>
      <c r="D89" s="4">
        <v>1</v>
      </c>
      <c r="E89" s="333" t="s">
        <v>31</v>
      </c>
      <c r="I89"/>
    </row>
    <row r="90" spans="1:9" ht="30" customHeight="1" x14ac:dyDescent="0.25">
      <c r="A90" s="3" t="s">
        <v>482</v>
      </c>
      <c r="B90" s="28" t="s">
        <v>755</v>
      </c>
      <c r="C90" s="3" t="s">
        <v>317</v>
      </c>
      <c r="D90" s="4">
        <v>1</v>
      </c>
      <c r="E90" s="333" t="s">
        <v>31</v>
      </c>
      <c r="I90"/>
    </row>
    <row r="91" spans="1:9" ht="30" customHeight="1" x14ac:dyDescent="0.25">
      <c r="A91" s="3" t="s">
        <v>612</v>
      </c>
      <c r="B91" s="28" t="s">
        <v>765</v>
      </c>
      <c r="C91" s="3" t="s">
        <v>317</v>
      </c>
      <c r="D91" s="4">
        <v>7</v>
      </c>
      <c r="E91" s="333" t="s">
        <v>31</v>
      </c>
      <c r="I91"/>
    </row>
    <row r="92" spans="1:9" ht="30" customHeight="1" x14ac:dyDescent="0.25">
      <c r="A92" s="3" t="s">
        <v>613</v>
      </c>
      <c r="B92" s="28" t="s">
        <v>767</v>
      </c>
      <c r="C92" s="3" t="s">
        <v>317</v>
      </c>
      <c r="D92" s="4">
        <v>7</v>
      </c>
      <c r="E92" s="333" t="s">
        <v>31</v>
      </c>
      <c r="I92"/>
    </row>
    <row r="93" spans="1:9" ht="30" customHeight="1" x14ac:dyDescent="0.25">
      <c r="A93" s="3" t="s">
        <v>614</v>
      </c>
      <c r="B93" s="28" t="s">
        <v>768</v>
      </c>
      <c r="C93" s="3" t="s">
        <v>317</v>
      </c>
      <c r="D93" s="4">
        <v>7</v>
      </c>
      <c r="E93" s="333" t="s">
        <v>31</v>
      </c>
      <c r="I93"/>
    </row>
    <row r="94" spans="1:9" ht="30" customHeight="1" x14ac:dyDescent="0.25">
      <c r="A94" s="3" t="s">
        <v>615</v>
      </c>
      <c r="B94" s="28" t="s">
        <v>769</v>
      </c>
      <c r="C94" s="3" t="s">
        <v>317</v>
      </c>
      <c r="D94" s="4">
        <v>7</v>
      </c>
      <c r="E94" s="333" t="s">
        <v>31</v>
      </c>
      <c r="I94"/>
    </row>
    <row r="95" spans="1:9" ht="30" customHeight="1" x14ac:dyDescent="0.25">
      <c r="A95" s="3" t="s">
        <v>616</v>
      </c>
      <c r="B95" s="28" t="s">
        <v>770</v>
      </c>
      <c r="C95" s="3" t="s">
        <v>317</v>
      </c>
      <c r="D95" s="4">
        <v>3</v>
      </c>
      <c r="E95" s="333" t="s">
        <v>31</v>
      </c>
      <c r="I95"/>
    </row>
    <row r="96" spans="1:9" ht="30" customHeight="1" x14ac:dyDescent="0.25">
      <c r="A96" s="3" t="s">
        <v>617</v>
      </c>
      <c r="B96" s="28" t="s">
        <v>771</v>
      </c>
      <c r="C96" s="3" t="s">
        <v>317</v>
      </c>
      <c r="D96" s="4">
        <v>5</v>
      </c>
      <c r="E96" s="333" t="s">
        <v>31</v>
      </c>
      <c r="I96"/>
    </row>
    <row r="97" spans="1:9" ht="30" customHeight="1" x14ac:dyDescent="0.25">
      <c r="A97" s="3" t="s">
        <v>618</v>
      </c>
      <c r="B97" s="28" t="s">
        <v>772</v>
      </c>
      <c r="C97" s="3" t="s">
        <v>317</v>
      </c>
      <c r="D97" s="4">
        <v>3</v>
      </c>
      <c r="E97" s="333" t="s">
        <v>31</v>
      </c>
      <c r="I97"/>
    </row>
    <row r="98" spans="1:9" ht="30" customHeight="1" x14ac:dyDescent="0.25">
      <c r="A98" s="3" t="s">
        <v>619</v>
      </c>
      <c r="B98" s="28" t="s">
        <v>773</v>
      </c>
      <c r="C98" s="3" t="s">
        <v>317</v>
      </c>
      <c r="D98" s="4">
        <v>13</v>
      </c>
      <c r="E98" s="333" t="s">
        <v>31</v>
      </c>
      <c r="I98"/>
    </row>
    <row r="99" spans="1:9" ht="30" customHeight="1" x14ac:dyDescent="0.25">
      <c r="A99" s="3" t="s">
        <v>620</v>
      </c>
      <c r="B99" s="28" t="s">
        <v>774</v>
      </c>
      <c r="C99" s="3" t="s">
        <v>317</v>
      </c>
      <c r="D99" s="4">
        <v>7</v>
      </c>
      <c r="E99" s="333" t="s">
        <v>31</v>
      </c>
      <c r="I99"/>
    </row>
    <row r="100" spans="1:9" ht="30" customHeight="1" x14ac:dyDescent="0.25">
      <c r="A100" s="3" t="s">
        <v>621</v>
      </c>
      <c r="B100" s="28" t="s">
        <v>775</v>
      </c>
      <c r="C100" s="3" t="s">
        <v>317</v>
      </c>
      <c r="D100" s="4">
        <v>3</v>
      </c>
      <c r="E100" s="333" t="s">
        <v>327</v>
      </c>
      <c r="I100"/>
    </row>
    <row r="101" spans="1:9" ht="30" customHeight="1" x14ac:dyDescent="0.25">
      <c r="A101" s="3" t="s">
        <v>622</v>
      </c>
      <c r="B101" s="28" t="s">
        <v>780</v>
      </c>
      <c r="C101" s="3" t="s">
        <v>317</v>
      </c>
      <c r="D101" s="4">
        <v>4</v>
      </c>
      <c r="E101" s="333" t="s">
        <v>327</v>
      </c>
      <c r="I101"/>
    </row>
    <row r="102" spans="1:9" ht="30" customHeight="1" x14ac:dyDescent="0.25">
      <c r="A102" s="3" t="s">
        <v>623</v>
      </c>
      <c r="B102" s="28" t="s">
        <v>781</v>
      </c>
      <c r="C102" s="3" t="s">
        <v>317</v>
      </c>
      <c r="D102" s="4">
        <v>59.33</v>
      </c>
      <c r="E102" s="333" t="s">
        <v>24</v>
      </c>
      <c r="I102"/>
    </row>
    <row r="103" spans="1:9" ht="30" customHeight="1" x14ac:dyDescent="0.25">
      <c r="A103" s="3" t="s">
        <v>624</v>
      </c>
      <c r="B103" s="28" t="s">
        <v>782</v>
      </c>
      <c r="C103" s="3" t="s">
        <v>317</v>
      </c>
      <c r="D103" s="4">
        <v>6.89</v>
      </c>
      <c r="E103" s="333" t="s">
        <v>24</v>
      </c>
      <c r="I103"/>
    </row>
    <row r="104" spans="1:9" ht="30" customHeight="1" x14ac:dyDescent="0.25">
      <c r="A104" s="3" t="s">
        <v>625</v>
      </c>
      <c r="B104" s="28" t="s">
        <v>783</v>
      </c>
      <c r="C104" s="3" t="s">
        <v>317</v>
      </c>
      <c r="D104" s="4">
        <v>10.59</v>
      </c>
      <c r="E104" s="333" t="s">
        <v>24</v>
      </c>
      <c r="I104"/>
    </row>
    <row r="105" spans="1:9" ht="30" customHeight="1" x14ac:dyDescent="0.25">
      <c r="A105" s="3" t="s">
        <v>626</v>
      </c>
      <c r="B105" s="28" t="s">
        <v>808</v>
      </c>
      <c r="C105" s="3" t="s">
        <v>317</v>
      </c>
      <c r="D105" s="4">
        <v>116.4</v>
      </c>
      <c r="E105" s="333" t="s">
        <v>24</v>
      </c>
      <c r="I105"/>
    </row>
    <row r="106" spans="1:9" ht="30" customHeight="1" x14ac:dyDescent="0.25">
      <c r="A106" s="3" t="s">
        <v>627</v>
      </c>
      <c r="B106" s="28" t="s">
        <v>811</v>
      </c>
      <c r="C106" s="3" t="s">
        <v>317</v>
      </c>
      <c r="D106" s="4">
        <v>1</v>
      </c>
      <c r="E106" s="333" t="s">
        <v>31</v>
      </c>
      <c r="I106"/>
    </row>
    <row r="107" spans="1:9" ht="30" customHeight="1" x14ac:dyDescent="0.25">
      <c r="A107" s="3" t="s">
        <v>628</v>
      </c>
      <c r="B107" s="28" t="s">
        <v>816</v>
      </c>
      <c r="C107" s="3" t="s">
        <v>317</v>
      </c>
      <c r="D107" s="4">
        <v>4</v>
      </c>
      <c r="E107" s="333" t="s">
        <v>327</v>
      </c>
      <c r="I107"/>
    </row>
    <row r="108" spans="1:9" ht="30" customHeight="1" x14ac:dyDescent="0.25">
      <c r="A108" s="3" t="s">
        <v>629</v>
      </c>
      <c r="B108" s="28" t="s">
        <v>817</v>
      </c>
      <c r="C108" s="3" t="s">
        <v>317</v>
      </c>
      <c r="D108" s="4">
        <v>2</v>
      </c>
      <c r="E108" s="333" t="s">
        <v>327</v>
      </c>
      <c r="I108"/>
    </row>
    <row r="109" spans="1:9" ht="30" customHeight="1" x14ac:dyDescent="0.25">
      <c r="A109" s="3" t="s">
        <v>630</v>
      </c>
      <c r="B109" s="28" t="s">
        <v>818</v>
      </c>
      <c r="C109" s="3" t="s">
        <v>317</v>
      </c>
      <c r="D109" s="4">
        <v>6</v>
      </c>
      <c r="E109" s="333" t="s">
        <v>327</v>
      </c>
      <c r="I109"/>
    </row>
    <row r="110" spans="1:9" ht="30" customHeight="1" x14ac:dyDescent="0.25">
      <c r="A110" s="3" t="s">
        <v>631</v>
      </c>
      <c r="B110" s="28" t="s">
        <v>819</v>
      </c>
      <c r="C110" s="3" t="s">
        <v>317</v>
      </c>
      <c r="D110" s="4">
        <v>1</v>
      </c>
      <c r="E110" s="333" t="s">
        <v>327</v>
      </c>
      <c r="I110"/>
    </row>
    <row r="111" spans="1:9" ht="30" customHeight="1" x14ac:dyDescent="0.25">
      <c r="A111" s="3" t="s">
        <v>632</v>
      </c>
      <c r="B111" s="28" t="s">
        <v>334</v>
      </c>
      <c r="C111" s="3" t="s">
        <v>317</v>
      </c>
      <c r="D111" s="4">
        <v>6</v>
      </c>
      <c r="E111" s="333" t="s">
        <v>327</v>
      </c>
      <c r="I111"/>
    </row>
    <row r="112" spans="1:9" ht="30" customHeight="1" x14ac:dyDescent="0.25">
      <c r="A112" s="3" t="s">
        <v>633</v>
      </c>
      <c r="B112" s="28" t="s">
        <v>820</v>
      </c>
      <c r="C112" s="3" t="s">
        <v>317</v>
      </c>
      <c r="D112" s="4">
        <v>7</v>
      </c>
      <c r="E112" s="333" t="s">
        <v>327</v>
      </c>
      <c r="I112"/>
    </row>
    <row r="113" spans="1:9" ht="30" customHeight="1" x14ac:dyDescent="0.25">
      <c r="A113" s="3" t="s">
        <v>634</v>
      </c>
      <c r="B113" s="28" t="s">
        <v>821</v>
      </c>
      <c r="C113" s="3" t="s">
        <v>317</v>
      </c>
      <c r="D113" s="4">
        <v>4</v>
      </c>
      <c r="E113" s="333" t="s">
        <v>327</v>
      </c>
      <c r="I113"/>
    </row>
    <row r="114" spans="1:9" ht="30" customHeight="1" x14ac:dyDescent="0.25">
      <c r="A114" s="3" t="s">
        <v>635</v>
      </c>
      <c r="B114" s="28" t="s">
        <v>335</v>
      </c>
      <c r="C114" s="3" t="s">
        <v>317</v>
      </c>
      <c r="D114" s="4">
        <v>2</v>
      </c>
      <c r="E114" s="333" t="s">
        <v>327</v>
      </c>
      <c r="I114"/>
    </row>
    <row r="115" spans="1:9" ht="30" customHeight="1" x14ac:dyDescent="0.25">
      <c r="A115" s="3" t="s">
        <v>636</v>
      </c>
      <c r="B115" s="28" t="s">
        <v>822</v>
      </c>
      <c r="C115" s="3" t="s">
        <v>317</v>
      </c>
      <c r="D115" s="4">
        <v>2</v>
      </c>
      <c r="E115" s="333" t="s">
        <v>327</v>
      </c>
      <c r="I115"/>
    </row>
    <row r="116" spans="1:9" ht="30" customHeight="1" x14ac:dyDescent="0.25">
      <c r="A116" s="3" t="s">
        <v>637</v>
      </c>
      <c r="B116" s="28" t="s">
        <v>336</v>
      </c>
      <c r="C116" s="3" t="s">
        <v>317</v>
      </c>
      <c r="D116" s="4">
        <v>7</v>
      </c>
      <c r="E116" s="333" t="s">
        <v>327</v>
      </c>
      <c r="I116"/>
    </row>
    <row r="117" spans="1:9" ht="30" customHeight="1" x14ac:dyDescent="0.25">
      <c r="A117" s="3" t="s">
        <v>638</v>
      </c>
      <c r="B117" s="28" t="s">
        <v>823</v>
      </c>
      <c r="C117" s="3" t="s">
        <v>317</v>
      </c>
      <c r="D117" s="4">
        <v>12</v>
      </c>
      <c r="E117" s="333" t="s">
        <v>327</v>
      </c>
      <c r="I117"/>
    </row>
    <row r="118" spans="1:9" ht="30" customHeight="1" x14ac:dyDescent="0.25">
      <c r="A118" s="3" t="s">
        <v>639</v>
      </c>
      <c r="B118" s="28" t="s">
        <v>824</v>
      </c>
      <c r="C118" s="3" t="s">
        <v>317</v>
      </c>
      <c r="D118" s="4">
        <v>3</v>
      </c>
      <c r="E118" s="333" t="s">
        <v>327</v>
      </c>
      <c r="I118"/>
    </row>
    <row r="119" spans="1:9" ht="30" customHeight="1" x14ac:dyDescent="0.25">
      <c r="A119" s="3" t="s">
        <v>640</v>
      </c>
      <c r="B119" s="28" t="s">
        <v>825</v>
      </c>
      <c r="C119" s="3" t="s">
        <v>317</v>
      </c>
      <c r="D119" s="4">
        <v>2</v>
      </c>
      <c r="E119" s="333" t="s">
        <v>327</v>
      </c>
      <c r="I119"/>
    </row>
    <row r="120" spans="1:9" ht="30" customHeight="1" x14ac:dyDescent="0.25">
      <c r="A120" s="3" t="s">
        <v>641</v>
      </c>
      <c r="B120" s="28" t="s">
        <v>826</v>
      </c>
      <c r="C120" s="3" t="s">
        <v>317</v>
      </c>
      <c r="D120" s="4">
        <v>2</v>
      </c>
      <c r="E120" s="333" t="s">
        <v>327</v>
      </c>
      <c r="I120"/>
    </row>
    <row r="121" spans="1:9" ht="30" customHeight="1" x14ac:dyDescent="0.25">
      <c r="A121" s="3" t="s">
        <v>642</v>
      </c>
      <c r="B121" s="28" t="s">
        <v>827</v>
      </c>
      <c r="C121" s="3" t="s">
        <v>317</v>
      </c>
      <c r="D121" s="4">
        <v>4</v>
      </c>
      <c r="E121" s="333" t="s">
        <v>327</v>
      </c>
      <c r="I121"/>
    </row>
    <row r="122" spans="1:9" ht="30" customHeight="1" x14ac:dyDescent="0.25">
      <c r="A122" s="3" t="s">
        <v>643</v>
      </c>
      <c r="B122" s="28" t="s">
        <v>337</v>
      </c>
      <c r="C122" s="3" t="s">
        <v>317</v>
      </c>
      <c r="D122" s="4">
        <v>10</v>
      </c>
      <c r="E122" s="333" t="s">
        <v>327</v>
      </c>
      <c r="I122"/>
    </row>
    <row r="123" spans="1:9" ht="30" customHeight="1" x14ac:dyDescent="0.25">
      <c r="A123" s="3" t="s">
        <v>644</v>
      </c>
      <c r="B123" s="28" t="s">
        <v>828</v>
      </c>
      <c r="C123" s="3" t="s">
        <v>317</v>
      </c>
      <c r="D123" s="4">
        <v>4</v>
      </c>
      <c r="E123" s="333" t="s">
        <v>327</v>
      </c>
      <c r="I123"/>
    </row>
    <row r="124" spans="1:9" ht="30" customHeight="1" x14ac:dyDescent="0.25">
      <c r="A124" s="3" t="s">
        <v>645</v>
      </c>
      <c r="B124" s="28" t="s">
        <v>829</v>
      </c>
      <c r="C124" s="3" t="s">
        <v>317</v>
      </c>
      <c r="D124" s="4">
        <v>7</v>
      </c>
      <c r="E124" s="333" t="s">
        <v>327</v>
      </c>
      <c r="I124"/>
    </row>
    <row r="125" spans="1:9" ht="30" customHeight="1" x14ac:dyDescent="0.25">
      <c r="A125" s="3" t="s">
        <v>646</v>
      </c>
      <c r="B125" s="28" t="s">
        <v>830</v>
      </c>
      <c r="C125" s="3" t="s">
        <v>317</v>
      </c>
      <c r="D125" s="4">
        <v>7</v>
      </c>
      <c r="E125" s="333" t="s">
        <v>327</v>
      </c>
      <c r="I125"/>
    </row>
    <row r="126" spans="1:9" ht="30" customHeight="1" x14ac:dyDescent="0.25">
      <c r="A126" s="3" t="s">
        <v>647</v>
      </c>
      <c r="B126" s="28" t="s">
        <v>831</v>
      </c>
      <c r="C126" s="3" t="s">
        <v>317</v>
      </c>
      <c r="D126" s="4">
        <v>6</v>
      </c>
      <c r="E126" s="333" t="s">
        <v>327</v>
      </c>
      <c r="I126"/>
    </row>
    <row r="127" spans="1:9" ht="30" customHeight="1" x14ac:dyDescent="0.25">
      <c r="A127" s="3" t="s">
        <v>648</v>
      </c>
      <c r="B127" s="28" t="s">
        <v>338</v>
      </c>
      <c r="C127" s="3" t="s">
        <v>317</v>
      </c>
      <c r="D127" s="4">
        <v>6</v>
      </c>
      <c r="E127" s="333" t="s">
        <v>327</v>
      </c>
      <c r="I127"/>
    </row>
    <row r="128" spans="1:9" ht="30" customHeight="1" x14ac:dyDescent="0.25">
      <c r="A128" s="3" t="s">
        <v>649</v>
      </c>
      <c r="B128" s="28" t="s">
        <v>832</v>
      </c>
      <c r="C128" s="3" t="s">
        <v>317</v>
      </c>
      <c r="D128" s="4">
        <v>4</v>
      </c>
      <c r="E128" s="333" t="s">
        <v>327</v>
      </c>
      <c r="I128"/>
    </row>
    <row r="129" spans="1:9" ht="30" customHeight="1" x14ac:dyDescent="0.25">
      <c r="A129" s="3" t="s">
        <v>650</v>
      </c>
      <c r="B129" s="28" t="s">
        <v>833</v>
      </c>
      <c r="C129" s="3" t="s">
        <v>317</v>
      </c>
      <c r="D129" s="4">
        <v>4</v>
      </c>
      <c r="E129" s="333" t="s">
        <v>327</v>
      </c>
      <c r="I129"/>
    </row>
    <row r="130" spans="1:9" ht="30" customHeight="1" x14ac:dyDescent="0.25">
      <c r="A130" s="3" t="s">
        <v>651</v>
      </c>
      <c r="B130" s="28" t="s">
        <v>834</v>
      </c>
      <c r="C130" s="3" t="s">
        <v>317</v>
      </c>
      <c r="D130" s="4">
        <v>6</v>
      </c>
      <c r="E130" s="333" t="s">
        <v>327</v>
      </c>
      <c r="I130"/>
    </row>
    <row r="131" spans="1:9" ht="30" customHeight="1" x14ac:dyDescent="0.25">
      <c r="A131" s="3" t="s">
        <v>652</v>
      </c>
      <c r="B131" s="28" t="s">
        <v>835</v>
      </c>
      <c r="C131" s="3" t="s">
        <v>317</v>
      </c>
      <c r="D131" s="4">
        <v>1</v>
      </c>
      <c r="E131" s="333" t="s">
        <v>327</v>
      </c>
      <c r="I131"/>
    </row>
    <row r="132" spans="1:9" ht="30" customHeight="1" x14ac:dyDescent="0.25">
      <c r="A132" s="3" t="s">
        <v>653</v>
      </c>
      <c r="B132" s="28" t="s">
        <v>836</v>
      </c>
      <c r="C132" s="3" t="s">
        <v>317</v>
      </c>
      <c r="D132" s="4">
        <v>4</v>
      </c>
      <c r="E132" s="333" t="s">
        <v>327</v>
      </c>
      <c r="I132"/>
    </row>
    <row r="133" spans="1:9" ht="30" customHeight="1" x14ac:dyDescent="0.25">
      <c r="A133" s="3" t="s">
        <v>654</v>
      </c>
      <c r="B133" s="28" t="s">
        <v>837</v>
      </c>
      <c r="C133" s="3" t="s">
        <v>317</v>
      </c>
      <c r="D133" s="4">
        <v>10</v>
      </c>
      <c r="E133" s="333" t="s">
        <v>327</v>
      </c>
      <c r="I133"/>
    </row>
    <row r="134" spans="1:9" ht="30" customHeight="1" x14ac:dyDescent="0.25">
      <c r="A134" s="3" t="s">
        <v>655</v>
      </c>
      <c r="B134" s="28" t="s">
        <v>339</v>
      </c>
      <c r="C134" s="3" t="s">
        <v>317</v>
      </c>
      <c r="D134" s="4">
        <v>2</v>
      </c>
      <c r="E134" s="333" t="s">
        <v>327</v>
      </c>
      <c r="I134"/>
    </row>
    <row r="135" spans="1:9" ht="30" customHeight="1" x14ac:dyDescent="0.25">
      <c r="A135" s="3" t="s">
        <v>656</v>
      </c>
      <c r="B135" s="28" t="s">
        <v>340</v>
      </c>
      <c r="C135" s="3" t="s">
        <v>317</v>
      </c>
      <c r="D135" s="4">
        <v>2</v>
      </c>
      <c r="E135" s="333" t="s">
        <v>327</v>
      </c>
      <c r="I135"/>
    </row>
    <row r="136" spans="1:9" ht="30" customHeight="1" x14ac:dyDescent="0.25">
      <c r="A136" s="3" t="s">
        <v>657</v>
      </c>
      <c r="B136" s="28" t="s">
        <v>838</v>
      </c>
      <c r="C136" s="3" t="s">
        <v>317</v>
      </c>
      <c r="D136" s="4">
        <v>3</v>
      </c>
      <c r="E136" s="333" t="s">
        <v>327</v>
      </c>
      <c r="I136"/>
    </row>
    <row r="137" spans="1:9" ht="30" customHeight="1" x14ac:dyDescent="0.25">
      <c r="A137" s="3" t="s">
        <v>658</v>
      </c>
      <c r="B137" s="28" t="s">
        <v>839</v>
      </c>
      <c r="C137" s="3" t="s">
        <v>317</v>
      </c>
      <c r="D137" s="4">
        <v>7</v>
      </c>
      <c r="E137" s="333" t="s">
        <v>327</v>
      </c>
      <c r="I137"/>
    </row>
    <row r="138" spans="1:9" ht="30" customHeight="1" x14ac:dyDescent="0.25">
      <c r="A138" s="3" t="s">
        <v>744</v>
      </c>
      <c r="B138" s="28" t="s">
        <v>840</v>
      </c>
      <c r="C138" s="3" t="s">
        <v>317</v>
      </c>
      <c r="D138" s="4">
        <v>14.86</v>
      </c>
      <c r="E138" s="333" t="s">
        <v>117</v>
      </c>
      <c r="I138"/>
    </row>
    <row r="139" spans="1:9" ht="30" customHeight="1" x14ac:dyDescent="0.25">
      <c r="A139" s="3" t="s">
        <v>745</v>
      </c>
      <c r="B139" s="28" t="s">
        <v>341</v>
      </c>
      <c r="C139" s="3" t="s">
        <v>317</v>
      </c>
      <c r="D139" s="4">
        <v>17.190000000000001</v>
      </c>
      <c r="E139" s="333" t="s">
        <v>117</v>
      </c>
      <c r="I139"/>
    </row>
    <row r="140" spans="1:9" ht="30" customHeight="1" x14ac:dyDescent="0.25">
      <c r="A140" s="3" t="s">
        <v>746</v>
      </c>
      <c r="B140" s="28" t="s">
        <v>841</v>
      </c>
      <c r="C140" s="3" t="s">
        <v>317</v>
      </c>
      <c r="D140" s="4">
        <f>25.99+20.53</f>
        <v>46.519999999999996</v>
      </c>
      <c r="E140" s="333" t="s">
        <v>117</v>
      </c>
      <c r="I140"/>
    </row>
    <row r="141" spans="1:9" ht="30" customHeight="1" x14ac:dyDescent="0.25">
      <c r="A141" s="3" t="s">
        <v>747</v>
      </c>
      <c r="B141" s="28" t="s">
        <v>342</v>
      </c>
      <c r="C141" s="3" t="s">
        <v>317</v>
      </c>
      <c r="D141" s="4">
        <v>2</v>
      </c>
      <c r="E141" s="333" t="s">
        <v>327</v>
      </c>
      <c r="I141"/>
    </row>
    <row r="142" spans="1:9" ht="30" customHeight="1" x14ac:dyDescent="0.25">
      <c r="A142" s="3" t="s">
        <v>748</v>
      </c>
      <c r="B142" s="28" t="s">
        <v>842</v>
      </c>
      <c r="C142" s="3" t="s">
        <v>317</v>
      </c>
      <c r="D142" s="4">
        <v>7</v>
      </c>
      <c r="E142" s="333" t="s">
        <v>327</v>
      </c>
      <c r="I142"/>
    </row>
    <row r="143" spans="1:9" x14ac:dyDescent="0.25">
      <c r="A143" s="61" t="s">
        <v>376</v>
      </c>
      <c r="B143" s="92" t="s">
        <v>109</v>
      </c>
      <c r="C143" s="92"/>
      <c r="D143" s="92"/>
      <c r="E143" s="92"/>
      <c r="I143"/>
    </row>
    <row r="144" spans="1:9" ht="30" customHeight="1" x14ac:dyDescent="0.25">
      <c r="A144" s="3" t="s">
        <v>377</v>
      </c>
      <c r="B144" s="34" t="s">
        <v>522</v>
      </c>
      <c r="C144" s="3" t="s">
        <v>318</v>
      </c>
      <c r="D144" s="136">
        <v>3</v>
      </c>
      <c r="E144" s="136" t="s">
        <v>31</v>
      </c>
      <c r="I144"/>
    </row>
    <row r="145" spans="1:9" ht="30" customHeight="1" x14ac:dyDescent="0.25">
      <c r="A145" s="3" t="s">
        <v>378</v>
      </c>
      <c r="B145" s="141" t="s">
        <v>523</v>
      </c>
      <c r="C145" s="3" t="s">
        <v>318</v>
      </c>
      <c r="D145" s="4">
        <v>3</v>
      </c>
      <c r="E145" s="3" t="s">
        <v>31</v>
      </c>
      <c r="I145"/>
    </row>
    <row r="146" spans="1:9" ht="30" customHeight="1" x14ac:dyDescent="0.25">
      <c r="A146" s="3" t="s">
        <v>659</v>
      </c>
      <c r="B146" s="141" t="s">
        <v>114</v>
      </c>
      <c r="C146" s="3" t="s">
        <v>318</v>
      </c>
      <c r="D146" s="4">
        <v>2</v>
      </c>
      <c r="E146" s="3" t="s">
        <v>31</v>
      </c>
      <c r="I146"/>
    </row>
    <row r="147" spans="1:9" ht="30" customHeight="1" x14ac:dyDescent="0.25">
      <c r="A147" s="3" t="s">
        <v>660</v>
      </c>
      <c r="B147" s="111" t="s">
        <v>323</v>
      </c>
      <c r="C147" s="3" t="s">
        <v>318</v>
      </c>
      <c r="D147" s="4">
        <v>8</v>
      </c>
      <c r="E147" s="3" t="s">
        <v>31</v>
      </c>
      <c r="I147"/>
    </row>
    <row r="148" spans="1:9" ht="30" customHeight="1" x14ac:dyDescent="0.25">
      <c r="A148" s="3" t="s">
        <v>661</v>
      </c>
      <c r="B148" s="111" t="s">
        <v>324</v>
      </c>
      <c r="C148" s="3" t="s">
        <v>318</v>
      </c>
      <c r="D148" s="4">
        <v>3</v>
      </c>
      <c r="E148" s="3" t="s">
        <v>31</v>
      </c>
      <c r="I148"/>
    </row>
    <row r="149" spans="1:9" ht="30" customHeight="1" x14ac:dyDescent="0.25">
      <c r="A149" s="3" t="s">
        <v>662</v>
      </c>
      <c r="B149" s="111" t="s">
        <v>524</v>
      </c>
      <c r="C149" s="3" t="s">
        <v>318</v>
      </c>
      <c r="D149" s="4">
        <v>3</v>
      </c>
      <c r="E149" s="3" t="s">
        <v>31</v>
      </c>
      <c r="I149"/>
    </row>
    <row r="150" spans="1:9" ht="30" customHeight="1" x14ac:dyDescent="0.25">
      <c r="A150" s="3" t="s">
        <v>663</v>
      </c>
      <c r="B150" s="141" t="s">
        <v>115</v>
      </c>
      <c r="C150" s="3" t="s">
        <v>318</v>
      </c>
      <c r="D150" s="4">
        <v>4</v>
      </c>
      <c r="E150" s="3" t="s">
        <v>31</v>
      </c>
      <c r="I150"/>
    </row>
    <row r="151" spans="1:9" ht="30" customHeight="1" x14ac:dyDescent="0.25">
      <c r="A151" s="3" t="s">
        <v>664</v>
      </c>
      <c r="B151" s="141" t="s">
        <v>525</v>
      </c>
      <c r="C151" s="3" t="s">
        <v>318</v>
      </c>
      <c r="D151" s="4">
        <v>2</v>
      </c>
      <c r="E151" s="3" t="s">
        <v>31</v>
      </c>
      <c r="I151"/>
    </row>
    <row r="152" spans="1:9" ht="30" customHeight="1" x14ac:dyDescent="0.25">
      <c r="A152" s="3" t="s">
        <v>665</v>
      </c>
      <c r="B152" s="111" t="s">
        <v>119</v>
      </c>
      <c r="C152" s="3" t="s">
        <v>318</v>
      </c>
      <c r="D152" s="4">
        <v>53</v>
      </c>
      <c r="E152" s="3" t="s">
        <v>31</v>
      </c>
      <c r="I152"/>
    </row>
    <row r="153" spans="1:9" ht="30" customHeight="1" x14ac:dyDescent="0.25">
      <c r="A153" s="3" t="s">
        <v>666</v>
      </c>
      <c r="B153" s="111" t="s">
        <v>526</v>
      </c>
      <c r="C153" s="3" t="s">
        <v>318</v>
      </c>
      <c r="D153" s="4">
        <v>116</v>
      </c>
      <c r="E153" s="3" t="s">
        <v>31</v>
      </c>
      <c r="I153"/>
    </row>
    <row r="154" spans="1:9" ht="30" customHeight="1" x14ac:dyDescent="0.25">
      <c r="A154" s="3" t="s">
        <v>667</v>
      </c>
      <c r="B154" s="111" t="s">
        <v>527</v>
      </c>
      <c r="C154" s="3" t="s">
        <v>318</v>
      </c>
      <c r="D154" s="4">
        <v>42</v>
      </c>
      <c r="E154" s="3" t="s">
        <v>31</v>
      </c>
      <c r="I154"/>
    </row>
    <row r="155" spans="1:9" ht="30" customHeight="1" x14ac:dyDescent="0.25">
      <c r="A155" s="3" t="s">
        <v>668</v>
      </c>
      <c r="B155" s="111" t="s">
        <v>528</v>
      </c>
      <c r="C155" s="3" t="s">
        <v>318</v>
      </c>
      <c r="D155" s="4">
        <v>2</v>
      </c>
      <c r="E155" s="3" t="s">
        <v>31</v>
      </c>
      <c r="I155"/>
    </row>
    <row r="156" spans="1:9" ht="30" customHeight="1" x14ac:dyDescent="0.25">
      <c r="A156" s="3" t="s">
        <v>669</v>
      </c>
      <c r="B156" s="111" t="s">
        <v>593</v>
      </c>
      <c r="C156" s="3" t="s">
        <v>318</v>
      </c>
      <c r="D156" s="4">
        <v>2</v>
      </c>
      <c r="E156" s="3" t="s">
        <v>31</v>
      </c>
      <c r="I156"/>
    </row>
    <row r="157" spans="1:9" ht="30" customHeight="1" x14ac:dyDescent="0.25">
      <c r="A157" s="3" t="s">
        <v>670</v>
      </c>
      <c r="B157" s="307" t="s">
        <v>529</v>
      </c>
      <c r="C157" s="3" t="s">
        <v>318</v>
      </c>
      <c r="D157" s="4">
        <v>5</v>
      </c>
      <c r="E157" s="3" t="s">
        <v>31</v>
      </c>
      <c r="I157"/>
    </row>
    <row r="158" spans="1:9" ht="30" customHeight="1" x14ac:dyDescent="0.25">
      <c r="A158" s="3" t="s">
        <v>671</v>
      </c>
      <c r="B158" s="307" t="s">
        <v>530</v>
      </c>
      <c r="C158" s="3" t="s">
        <v>318</v>
      </c>
      <c r="D158" s="4">
        <v>5</v>
      </c>
      <c r="E158" s="3" t="s">
        <v>31</v>
      </c>
      <c r="I158"/>
    </row>
    <row r="159" spans="1:9" ht="30" customHeight="1" x14ac:dyDescent="0.25">
      <c r="A159" s="3" t="s">
        <v>672</v>
      </c>
      <c r="B159" s="111" t="s">
        <v>325</v>
      </c>
      <c r="C159" s="3" t="s">
        <v>318</v>
      </c>
      <c r="D159" s="4">
        <v>8</v>
      </c>
      <c r="E159" s="3" t="s">
        <v>31</v>
      </c>
      <c r="I159"/>
    </row>
    <row r="160" spans="1:9" ht="30" customHeight="1" x14ac:dyDescent="0.25">
      <c r="A160" s="3" t="s">
        <v>673</v>
      </c>
      <c r="B160" s="111" t="s">
        <v>531</v>
      </c>
      <c r="C160" s="3" t="s">
        <v>318</v>
      </c>
      <c r="D160" s="4">
        <v>8</v>
      </c>
      <c r="E160" s="3" t="s">
        <v>31</v>
      </c>
      <c r="I160"/>
    </row>
    <row r="161" spans="1:9" ht="30" customHeight="1" x14ac:dyDescent="0.25">
      <c r="A161" s="3" t="s">
        <v>674</v>
      </c>
      <c r="B161" s="111" t="s">
        <v>591</v>
      </c>
      <c r="C161" s="3" t="s">
        <v>318</v>
      </c>
      <c r="D161" s="4">
        <v>2</v>
      </c>
      <c r="E161" s="3" t="s">
        <v>31</v>
      </c>
      <c r="I161"/>
    </row>
    <row r="162" spans="1:9" ht="30" customHeight="1" x14ac:dyDescent="0.25">
      <c r="A162" s="3" t="s">
        <v>675</v>
      </c>
      <c r="B162" s="111" t="s">
        <v>116</v>
      </c>
      <c r="C162" s="3" t="s">
        <v>318</v>
      </c>
      <c r="D162" s="4">
        <v>40</v>
      </c>
      <c r="E162" s="3" t="s">
        <v>24</v>
      </c>
      <c r="I162"/>
    </row>
    <row r="163" spans="1:9" ht="30" customHeight="1" x14ac:dyDescent="0.25">
      <c r="A163" s="3" t="s">
        <v>676</v>
      </c>
      <c r="B163" s="111" t="s">
        <v>120</v>
      </c>
      <c r="C163" s="3" t="s">
        <v>318</v>
      </c>
      <c r="D163" s="4">
        <v>5612.2</v>
      </c>
      <c r="E163" s="3" t="s">
        <v>117</v>
      </c>
      <c r="I163"/>
    </row>
    <row r="164" spans="1:9" ht="30" customHeight="1" x14ac:dyDescent="0.25">
      <c r="A164" s="3" t="s">
        <v>677</v>
      </c>
      <c r="B164" s="111" t="s">
        <v>121</v>
      </c>
      <c r="C164" s="3" t="s">
        <v>318</v>
      </c>
      <c r="D164" s="4">
        <v>64.900000000000006</v>
      </c>
      <c r="E164" s="3" t="s">
        <v>24</v>
      </c>
      <c r="I164"/>
    </row>
    <row r="165" spans="1:9" ht="30" customHeight="1" x14ac:dyDescent="0.25">
      <c r="A165" s="3" t="s">
        <v>678</v>
      </c>
      <c r="B165" s="111" t="s">
        <v>320</v>
      </c>
      <c r="C165" s="3" t="s">
        <v>318</v>
      </c>
      <c r="D165" s="4">
        <v>325.60000000000002</v>
      </c>
      <c r="E165" s="3" t="s">
        <v>24</v>
      </c>
      <c r="I165"/>
    </row>
    <row r="166" spans="1:9" ht="30" customHeight="1" x14ac:dyDescent="0.25">
      <c r="A166" s="3" t="s">
        <v>679</v>
      </c>
      <c r="B166" s="111" t="s">
        <v>532</v>
      </c>
      <c r="C166" s="3" t="s">
        <v>318</v>
      </c>
      <c r="D166" s="4">
        <v>1746.04</v>
      </c>
      <c r="E166" s="3" t="s">
        <v>24</v>
      </c>
      <c r="I166"/>
    </row>
    <row r="167" spans="1:9" ht="30" customHeight="1" x14ac:dyDescent="0.25">
      <c r="A167" s="3" t="s">
        <v>680</v>
      </c>
      <c r="B167" s="111" t="s">
        <v>533</v>
      </c>
      <c r="C167" s="3" t="s">
        <v>318</v>
      </c>
      <c r="D167" s="4">
        <v>390</v>
      </c>
      <c r="E167" s="3" t="s">
        <v>24</v>
      </c>
      <c r="I167"/>
    </row>
    <row r="168" spans="1:9" ht="30" customHeight="1" x14ac:dyDescent="0.25">
      <c r="A168" s="3" t="s">
        <v>681</v>
      </c>
      <c r="B168" s="111" t="s">
        <v>534</v>
      </c>
      <c r="C168" s="3" t="s">
        <v>318</v>
      </c>
      <c r="D168" s="4">
        <v>315.7</v>
      </c>
      <c r="E168" s="3" t="s">
        <v>24</v>
      </c>
      <c r="I168"/>
    </row>
    <row r="169" spans="1:9" ht="30" customHeight="1" x14ac:dyDescent="0.25">
      <c r="A169" s="3" t="s">
        <v>682</v>
      </c>
      <c r="B169" s="111" t="s">
        <v>535</v>
      </c>
      <c r="C169" s="3" t="s">
        <v>318</v>
      </c>
      <c r="D169" s="4">
        <v>3.3</v>
      </c>
      <c r="E169" s="3" t="s">
        <v>24</v>
      </c>
      <c r="I169"/>
    </row>
    <row r="170" spans="1:9" ht="30" customHeight="1" x14ac:dyDescent="0.25">
      <c r="A170" s="3" t="s">
        <v>683</v>
      </c>
      <c r="B170" s="111" t="s">
        <v>536</v>
      </c>
      <c r="C170" s="3" t="s">
        <v>318</v>
      </c>
      <c r="D170" s="4">
        <v>12.9</v>
      </c>
      <c r="E170" s="3" t="s">
        <v>24</v>
      </c>
      <c r="I170"/>
    </row>
    <row r="171" spans="1:9" ht="30" customHeight="1" x14ac:dyDescent="0.25">
      <c r="A171" s="3" t="s">
        <v>684</v>
      </c>
      <c r="B171" s="111" t="s">
        <v>537</v>
      </c>
      <c r="C171" s="3" t="s">
        <v>318</v>
      </c>
      <c r="D171" s="4">
        <v>18</v>
      </c>
      <c r="E171" s="3" t="s">
        <v>31</v>
      </c>
      <c r="I171"/>
    </row>
    <row r="172" spans="1:9" ht="30" customHeight="1" x14ac:dyDescent="0.25">
      <c r="A172" s="3" t="s">
        <v>685</v>
      </c>
      <c r="B172" s="141" t="s">
        <v>538</v>
      </c>
      <c r="C172" s="3" t="s">
        <v>318</v>
      </c>
      <c r="D172" s="4">
        <v>4</v>
      </c>
      <c r="E172" s="3" t="s">
        <v>24</v>
      </c>
      <c r="I172"/>
    </row>
    <row r="173" spans="1:9" ht="30" customHeight="1" x14ac:dyDescent="0.25">
      <c r="A173" s="3" t="s">
        <v>686</v>
      </c>
      <c r="B173" s="111" t="s">
        <v>539</v>
      </c>
      <c r="C173" s="3" t="s">
        <v>318</v>
      </c>
      <c r="D173" s="4">
        <v>16</v>
      </c>
      <c r="E173" s="3" t="s">
        <v>31</v>
      </c>
      <c r="I173"/>
    </row>
    <row r="174" spans="1:9" ht="30" customHeight="1" x14ac:dyDescent="0.25">
      <c r="A174" s="3" t="s">
        <v>687</v>
      </c>
      <c r="B174" s="111" t="s">
        <v>540</v>
      </c>
      <c r="C174" s="3" t="s">
        <v>318</v>
      </c>
      <c r="D174" s="4">
        <v>19</v>
      </c>
      <c r="E174" s="3" t="s">
        <v>31</v>
      </c>
      <c r="I174"/>
    </row>
    <row r="175" spans="1:9" ht="30" customHeight="1" x14ac:dyDescent="0.25">
      <c r="A175" s="3" t="s">
        <v>688</v>
      </c>
      <c r="B175" s="33" t="s">
        <v>122</v>
      </c>
      <c r="C175" s="3" t="s">
        <v>318</v>
      </c>
      <c r="D175" s="4">
        <v>5</v>
      </c>
      <c r="E175" s="3" t="s">
        <v>31</v>
      </c>
      <c r="I175"/>
    </row>
    <row r="176" spans="1:9" ht="30" customHeight="1" x14ac:dyDescent="0.25">
      <c r="A176" s="3" t="s">
        <v>689</v>
      </c>
      <c r="B176" s="33" t="s">
        <v>541</v>
      </c>
      <c r="C176" s="3" t="s">
        <v>318</v>
      </c>
      <c r="D176" s="4">
        <v>2</v>
      </c>
      <c r="E176" s="3" t="s">
        <v>31</v>
      </c>
      <c r="I176"/>
    </row>
    <row r="177" spans="1:9" ht="30" customHeight="1" x14ac:dyDescent="0.25">
      <c r="A177" s="3" t="s">
        <v>690</v>
      </c>
      <c r="B177" s="33" t="s">
        <v>123</v>
      </c>
      <c r="C177" s="3" t="s">
        <v>318</v>
      </c>
      <c r="D177" s="4">
        <v>17</v>
      </c>
      <c r="E177" s="3" t="s">
        <v>31</v>
      </c>
      <c r="I177"/>
    </row>
    <row r="178" spans="1:9" ht="30" customHeight="1" x14ac:dyDescent="0.25">
      <c r="A178" s="3" t="s">
        <v>691</v>
      </c>
      <c r="B178" s="33" t="s">
        <v>542</v>
      </c>
      <c r="C178" s="3" t="s">
        <v>318</v>
      </c>
      <c r="D178" s="4">
        <v>38</v>
      </c>
      <c r="E178" s="3" t="s">
        <v>31</v>
      </c>
      <c r="I178"/>
    </row>
    <row r="179" spans="1:9" ht="30" customHeight="1" x14ac:dyDescent="0.25">
      <c r="A179" s="3" t="s">
        <v>692</v>
      </c>
      <c r="B179" s="33" t="s">
        <v>124</v>
      </c>
      <c r="C179" s="3" t="s">
        <v>318</v>
      </c>
      <c r="D179" s="4">
        <v>4</v>
      </c>
      <c r="E179" s="3" t="s">
        <v>31</v>
      </c>
      <c r="I179"/>
    </row>
    <row r="180" spans="1:9" ht="30" customHeight="1" x14ac:dyDescent="0.25">
      <c r="A180" s="3" t="s">
        <v>693</v>
      </c>
      <c r="B180" s="33" t="s">
        <v>328</v>
      </c>
      <c r="C180" s="3" t="s">
        <v>318</v>
      </c>
      <c r="D180" s="4">
        <v>116</v>
      </c>
      <c r="E180" s="3" t="s">
        <v>31</v>
      </c>
      <c r="I180"/>
    </row>
    <row r="181" spans="1:9" ht="30" customHeight="1" x14ac:dyDescent="0.25">
      <c r="A181" s="3" t="s">
        <v>694</v>
      </c>
      <c r="B181" s="33" t="s">
        <v>125</v>
      </c>
      <c r="C181" s="3" t="s">
        <v>318</v>
      </c>
      <c r="D181" s="4">
        <v>19</v>
      </c>
      <c r="E181" s="3" t="s">
        <v>31</v>
      </c>
      <c r="I181"/>
    </row>
    <row r="182" spans="1:9" ht="30" customHeight="1" x14ac:dyDescent="0.25">
      <c r="A182" s="3" t="s">
        <v>695</v>
      </c>
      <c r="B182" s="33" t="s">
        <v>195</v>
      </c>
      <c r="C182" s="3" t="s">
        <v>318</v>
      </c>
      <c r="D182" s="4">
        <v>7</v>
      </c>
      <c r="E182" s="3" t="s">
        <v>31</v>
      </c>
      <c r="I182"/>
    </row>
    <row r="183" spans="1:9" ht="30" customHeight="1" x14ac:dyDescent="0.25">
      <c r="A183" s="3" t="s">
        <v>696</v>
      </c>
      <c r="B183" s="33" t="s">
        <v>543</v>
      </c>
      <c r="C183" s="3" t="s">
        <v>318</v>
      </c>
      <c r="D183" s="4">
        <v>1</v>
      </c>
      <c r="E183" s="3" t="s">
        <v>31</v>
      </c>
      <c r="I183"/>
    </row>
    <row r="184" spans="1:9" ht="30" customHeight="1" x14ac:dyDescent="0.25">
      <c r="A184" s="3" t="s">
        <v>697</v>
      </c>
      <c r="B184" s="33" t="s">
        <v>321</v>
      </c>
      <c r="C184" s="3" t="s">
        <v>318</v>
      </c>
      <c r="D184" s="4">
        <v>38</v>
      </c>
      <c r="E184" s="3" t="s">
        <v>31</v>
      </c>
      <c r="I184"/>
    </row>
    <row r="185" spans="1:9" ht="30" customHeight="1" x14ac:dyDescent="0.25">
      <c r="A185" s="3" t="s">
        <v>698</v>
      </c>
      <c r="B185" s="33" t="s">
        <v>544</v>
      </c>
      <c r="C185" s="3" t="s">
        <v>318</v>
      </c>
      <c r="D185" s="4">
        <v>4</v>
      </c>
      <c r="E185" s="3" t="s">
        <v>31</v>
      </c>
      <c r="I185"/>
    </row>
    <row r="186" spans="1:9" ht="30" customHeight="1" x14ac:dyDescent="0.25">
      <c r="A186" s="3" t="s">
        <v>699</v>
      </c>
      <c r="B186" s="33" t="s">
        <v>545</v>
      </c>
      <c r="C186" s="3" t="s">
        <v>318</v>
      </c>
      <c r="D186" s="4">
        <v>2</v>
      </c>
      <c r="E186" s="3" t="s">
        <v>31</v>
      </c>
      <c r="I186"/>
    </row>
    <row r="187" spans="1:9" ht="30" customHeight="1" x14ac:dyDescent="0.25">
      <c r="A187" s="3" t="s">
        <v>700</v>
      </c>
      <c r="B187" s="33" t="s">
        <v>546</v>
      </c>
      <c r="C187" s="3" t="s">
        <v>318</v>
      </c>
      <c r="D187" s="4">
        <v>1</v>
      </c>
      <c r="E187" s="3" t="s">
        <v>31</v>
      </c>
      <c r="I187"/>
    </row>
    <row r="188" spans="1:9" ht="30" customHeight="1" x14ac:dyDescent="0.25">
      <c r="A188" s="3" t="s">
        <v>701</v>
      </c>
      <c r="B188" s="33" t="s">
        <v>547</v>
      </c>
      <c r="C188" s="3" t="s">
        <v>318</v>
      </c>
      <c r="D188" s="4">
        <v>4</v>
      </c>
      <c r="E188" s="3" t="s">
        <v>31</v>
      </c>
      <c r="I188"/>
    </row>
    <row r="189" spans="1:9" ht="30" customHeight="1" x14ac:dyDescent="0.25">
      <c r="A189" s="3" t="s">
        <v>702</v>
      </c>
      <c r="B189" s="33" t="s">
        <v>548</v>
      </c>
      <c r="C189" s="3" t="s">
        <v>318</v>
      </c>
      <c r="D189" s="4">
        <v>1</v>
      </c>
      <c r="E189" s="3" t="s">
        <v>31</v>
      </c>
      <c r="I189"/>
    </row>
    <row r="190" spans="1:9" ht="30" customHeight="1" x14ac:dyDescent="0.25">
      <c r="A190" s="3" t="s">
        <v>703</v>
      </c>
      <c r="B190" s="33" t="s">
        <v>549</v>
      </c>
      <c r="C190" s="3" t="s">
        <v>318</v>
      </c>
      <c r="D190" s="4">
        <v>2</v>
      </c>
      <c r="E190" s="3" t="s">
        <v>31</v>
      </c>
      <c r="I190"/>
    </row>
    <row r="191" spans="1:9" ht="30" customHeight="1" x14ac:dyDescent="0.25">
      <c r="A191" s="3" t="s">
        <v>704</v>
      </c>
      <c r="B191" s="33" t="s">
        <v>550</v>
      </c>
      <c r="C191" s="3" t="s">
        <v>318</v>
      </c>
      <c r="D191" s="4">
        <v>1</v>
      </c>
      <c r="E191" s="3" t="s">
        <v>31</v>
      </c>
      <c r="I191"/>
    </row>
    <row r="192" spans="1:9" ht="30" customHeight="1" x14ac:dyDescent="0.25">
      <c r="A192" s="3" t="s">
        <v>705</v>
      </c>
      <c r="B192" s="33" t="s">
        <v>551</v>
      </c>
      <c r="C192" s="3" t="s">
        <v>318</v>
      </c>
      <c r="D192" s="4">
        <v>4</v>
      </c>
      <c r="E192" s="3" t="s">
        <v>31</v>
      </c>
      <c r="I192"/>
    </row>
    <row r="193" spans="1:9" ht="30" customHeight="1" x14ac:dyDescent="0.25">
      <c r="A193" s="3" t="s">
        <v>706</v>
      </c>
      <c r="B193" s="33" t="s">
        <v>552</v>
      </c>
      <c r="C193" s="3" t="s">
        <v>318</v>
      </c>
      <c r="D193" s="4">
        <v>1</v>
      </c>
      <c r="E193" s="3" t="s">
        <v>31</v>
      </c>
      <c r="I193"/>
    </row>
    <row r="194" spans="1:9" ht="30" customHeight="1" x14ac:dyDescent="0.25">
      <c r="A194" s="3" t="s">
        <v>707</v>
      </c>
      <c r="B194" s="33" t="s">
        <v>553</v>
      </c>
      <c r="C194" s="3" t="s">
        <v>318</v>
      </c>
      <c r="D194" s="4">
        <v>1</v>
      </c>
      <c r="E194" s="3" t="s">
        <v>31</v>
      </c>
      <c r="I194"/>
    </row>
    <row r="195" spans="1:9" ht="30" customHeight="1" x14ac:dyDescent="0.25">
      <c r="A195" s="3" t="s">
        <v>708</v>
      </c>
      <c r="B195" s="298" t="s">
        <v>589</v>
      </c>
      <c r="C195" s="3" t="s">
        <v>318</v>
      </c>
      <c r="D195" s="4">
        <v>1</v>
      </c>
      <c r="E195" s="3" t="s">
        <v>31</v>
      </c>
      <c r="I195"/>
    </row>
    <row r="196" spans="1:9" ht="30" customHeight="1" x14ac:dyDescent="0.25">
      <c r="A196" s="3" t="s">
        <v>709</v>
      </c>
      <c r="B196" s="33" t="s">
        <v>587</v>
      </c>
      <c r="C196" s="3" t="s">
        <v>318</v>
      </c>
      <c r="D196" s="4">
        <v>2</v>
      </c>
      <c r="E196" s="3" t="s">
        <v>31</v>
      </c>
      <c r="I196"/>
    </row>
    <row r="197" spans="1:9" ht="30" customHeight="1" x14ac:dyDescent="0.25">
      <c r="A197" s="3" t="s">
        <v>710</v>
      </c>
      <c r="B197" s="33" t="s">
        <v>585</v>
      </c>
      <c r="C197" s="3" t="s">
        <v>318</v>
      </c>
      <c r="D197" s="4">
        <v>5</v>
      </c>
      <c r="E197" s="3" t="s">
        <v>31</v>
      </c>
      <c r="I197"/>
    </row>
    <row r="198" spans="1:9" ht="30" customHeight="1" x14ac:dyDescent="0.25">
      <c r="A198" s="3" t="s">
        <v>711</v>
      </c>
      <c r="B198" s="33" t="s">
        <v>583</v>
      </c>
      <c r="C198" s="3" t="s">
        <v>318</v>
      </c>
      <c r="D198" s="4">
        <v>2</v>
      </c>
      <c r="E198" s="3" t="s">
        <v>31</v>
      </c>
      <c r="I198"/>
    </row>
    <row r="199" spans="1:9" ht="30" customHeight="1" x14ac:dyDescent="0.25">
      <c r="A199" s="3" t="s">
        <v>712</v>
      </c>
      <c r="B199" s="33" t="s">
        <v>126</v>
      </c>
      <c r="C199" s="3" t="s">
        <v>318</v>
      </c>
      <c r="D199" s="4">
        <v>710.9</v>
      </c>
      <c r="E199" s="3" t="s">
        <v>24</v>
      </c>
      <c r="I199"/>
    </row>
    <row r="200" spans="1:9" ht="30" customHeight="1" x14ac:dyDescent="0.25">
      <c r="A200" s="3" t="s">
        <v>713</v>
      </c>
      <c r="B200" s="33" t="s">
        <v>127</v>
      </c>
      <c r="C200" s="3" t="s">
        <v>318</v>
      </c>
      <c r="D200" s="4">
        <v>913.7</v>
      </c>
      <c r="E200" s="3" t="s">
        <v>24</v>
      </c>
      <c r="I200"/>
    </row>
    <row r="201" spans="1:9" ht="30" customHeight="1" x14ac:dyDescent="0.25">
      <c r="A201" s="3" t="s">
        <v>714</v>
      </c>
      <c r="B201" s="33" t="s">
        <v>554</v>
      </c>
      <c r="C201" s="3" t="s">
        <v>318</v>
      </c>
      <c r="D201" s="4">
        <v>90.5</v>
      </c>
      <c r="E201" s="3" t="s">
        <v>24</v>
      </c>
      <c r="I201"/>
    </row>
    <row r="202" spans="1:9" ht="30" customHeight="1" x14ac:dyDescent="0.25">
      <c r="A202" s="3" t="s">
        <v>715</v>
      </c>
      <c r="B202" s="33" t="s">
        <v>555</v>
      </c>
      <c r="C202" s="3" t="s">
        <v>318</v>
      </c>
      <c r="D202" s="4">
        <v>83.4</v>
      </c>
      <c r="E202" s="3" t="s">
        <v>24</v>
      </c>
      <c r="I202"/>
    </row>
    <row r="203" spans="1:9" ht="30" customHeight="1" x14ac:dyDescent="0.25">
      <c r="A203" s="3" t="s">
        <v>716</v>
      </c>
      <c r="B203" s="33" t="s">
        <v>556</v>
      </c>
      <c r="C203" s="3" t="s">
        <v>318</v>
      </c>
      <c r="D203" s="4">
        <v>60</v>
      </c>
      <c r="E203" s="3" t="s">
        <v>24</v>
      </c>
      <c r="I203"/>
    </row>
    <row r="204" spans="1:9" ht="30" customHeight="1" x14ac:dyDescent="0.25">
      <c r="A204" s="3" t="s">
        <v>717</v>
      </c>
      <c r="B204" s="33" t="s">
        <v>557</v>
      </c>
      <c r="C204" s="3" t="s">
        <v>318</v>
      </c>
      <c r="D204" s="4">
        <v>48.7</v>
      </c>
      <c r="E204" s="3" t="s">
        <v>24</v>
      </c>
      <c r="I204"/>
    </row>
    <row r="205" spans="1:9" ht="30" customHeight="1" x14ac:dyDescent="0.25">
      <c r="A205" s="3" t="s">
        <v>718</v>
      </c>
      <c r="B205" s="33" t="s">
        <v>293</v>
      </c>
      <c r="C205" s="3" t="s">
        <v>318</v>
      </c>
      <c r="D205" s="4">
        <v>8</v>
      </c>
      <c r="E205" s="3" t="s">
        <v>24</v>
      </c>
      <c r="I205"/>
    </row>
    <row r="206" spans="1:9" ht="30" customHeight="1" x14ac:dyDescent="0.25">
      <c r="A206" s="3" t="s">
        <v>719</v>
      </c>
      <c r="B206" s="33" t="s">
        <v>128</v>
      </c>
      <c r="C206" s="3" t="s">
        <v>318</v>
      </c>
      <c r="D206" s="4">
        <v>2</v>
      </c>
      <c r="E206" s="3" t="s">
        <v>24</v>
      </c>
      <c r="I206"/>
    </row>
    <row r="207" spans="1:9" ht="30" customHeight="1" x14ac:dyDescent="0.25">
      <c r="A207" s="3" t="s">
        <v>720</v>
      </c>
      <c r="B207" s="33" t="s">
        <v>594</v>
      </c>
      <c r="C207" s="3" t="s">
        <v>318</v>
      </c>
      <c r="D207" s="4">
        <v>4</v>
      </c>
      <c r="E207" s="3" t="s">
        <v>31</v>
      </c>
      <c r="I207"/>
    </row>
    <row r="208" spans="1:9" ht="30" customHeight="1" x14ac:dyDescent="0.25">
      <c r="A208" s="3" t="s">
        <v>721</v>
      </c>
      <c r="B208" s="33" t="s">
        <v>580</v>
      </c>
      <c r="C208" s="3" t="s">
        <v>318</v>
      </c>
      <c r="D208" s="4">
        <v>18</v>
      </c>
      <c r="E208" s="3" t="s">
        <v>31</v>
      </c>
      <c r="I208"/>
    </row>
    <row r="209" spans="1:9" ht="30" customHeight="1" x14ac:dyDescent="0.25">
      <c r="A209" s="3" t="s">
        <v>722</v>
      </c>
      <c r="B209" s="33" t="s">
        <v>576</v>
      </c>
      <c r="C209" s="3" t="s">
        <v>318</v>
      </c>
      <c r="D209" s="4">
        <v>18</v>
      </c>
      <c r="E209" s="3" t="s">
        <v>31</v>
      </c>
      <c r="I209"/>
    </row>
    <row r="210" spans="1:9" ht="30" customHeight="1" x14ac:dyDescent="0.25">
      <c r="A210" s="3" t="s">
        <v>723</v>
      </c>
      <c r="B210" s="33" t="s">
        <v>198</v>
      </c>
      <c r="C210" s="3" t="s">
        <v>318</v>
      </c>
      <c r="D210" s="4">
        <v>102</v>
      </c>
      <c r="E210" s="3" t="s">
        <v>31</v>
      </c>
      <c r="I210"/>
    </row>
    <row r="211" spans="1:9" ht="30" customHeight="1" x14ac:dyDescent="0.25">
      <c r="A211" s="3" t="s">
        <v>724</v>
      </c>
      <c r="B211" s="33" t="s">
        <v>329</v>
      </c>
      <c r="C211" s="3" t="s">
        <v>318</v>
      </c>
      <c r="D211" s="4">
        <v>9</v>
      </c>
      <c r="E211" s="3" t="s">
        <v>31</v>
      </c>
      <c r="I211"/>
    </row>
    <row r="212" spans="1:9" ht="30" customHeight="1" x14ac:dyDescent="0.25">
      <c r="A212" s="3" t="s">
        <v>725</v>
      </c>
      <c r="B212" s="33" t="s">
        <v>559</v>
      </c>
      <c r="C212" s="3" t="s">
        <v>318</v>
      </c>
      <c r="D212" s="4">
        <v>2</v>
      </c>
      <c r="E212" s="3" t="s">
        <v>31</v>
      </c>
      <c r="I212"/>
    </row>
    <row r="213" spans="1:9" ht="30" customHeight="1" x14ac:dyDescent="0.25">
      <c r="A213" s="3" t="s">
        <v>726</v>
      </c>
      <c r="B213" s="33" t="s">
        <v>95</v>
      </c>
      <c r="C213" s="3" t="s">
        <v>318</v>
      </c>
      <c r="D213" s="4">
        <v>2</v>
      </c>
      <c r="E213" s="3" t="s">
        <v>31</v>
      </c>
      <c r="I213"/>
    </row>
    <row r="214" spans="1:9" ht="30" customHeight="1" x14ac:dyDescent="0.25">
      <c r="A214" s="3" t="s">
        <v>727</v>
      </c>
      <c r="B214" s="33" t="s">
        <v>333</v>
      </c>
      <c r="C214" s="3" t="s">
        <v>318</v>
      </c>
      <c r="D214" s="4">
        <v>4</v>
      </c>
      <c r="E214" s="3" t="s">
        <v>31</v>
      </c>
      <c r="I214"/>
    </row>
    <row r="215" spans="1:9" ht="30" customHeight="1" x14ac:dyDescent="0.25">
      <c r="A215" s="3" t="s">
        <v>728</v>
      </c>
      <c r="B215" s="33" t="s">
        <v>560</v>
      </c>
      <c r="C215" s="3" t="s">
        <v>318</v>
      </c>
      <c r="D215" s="4">
        <v>2</v>
      </c>
      <c r="E215" s="3" t="s">
        <v>31</v>
      </c>
      <c r="I215"/>
    </row>
    <row r="216" spans="1:9" ht="30" customHeight="1" x14ac:dyDescent="0.25">
      <c r="A216" s="3" t="s">
        <v>729</v>
      </c>
      <c r="B216" s="33" t="s">
        <v>561</v>
      </c>
      <c r="C216" s="3" t="s">
        <v>318</v>
      </c>
      <c r="D216" s="4">
        <v>16</v>
      </c>
      <c r="E216" s="3" t="s">
        <v>31</v>
      </c>
      <c r="I216"/>
    </row>
    <row r="217" spans="1:9" ht="30" customHeight="1" x14ac:dyDescent="0.25">
      <c r="A217" s="3" t="s">
        <v>730</v>
      </c>
      <c r="B217" s="33" t="s">
        <v>562</v>
      </c>
      <c r="C217" s="3" t="s">
        <v>318</v>
      </c>
      <c r="D217" s="4">
        <v>12</v>
      </c>
      <c r="E217" s="3" t="s">
        <v>24</v>
      </c>
      <c r="I217"/>
    </row>
    <row r="218" spans="1:9" ht="30" customHeight="1" x14ac:dyDescent="0.25">
      <c r="A218" s="3" t="s">
        <v>731</v>
      </c>
      <c r="B218" s="33" t="s">
        <v>563</v>
      </c>
      <c r="C218" s="3" t="s">
        <v>318</v>
      </c>
      <c r="D218" s="4">
        <v>2</v>
      </c>
      <c r="E218" s="3" t="s">
        <v>31</v>
      </c>
      <c r="I218"/>
    </row>
    <row r="219" spans="1:9" ht="30" customHeight="1" x14ac:dyDescent="0.25">
      <c r="A219" s="3" t="s">
        <v>732</v>
      </c>
      <c r="B219" s="33" t="s">
        <v>571</v>
      </c>
      <c r="C219" s="3" t="s">
        <v>318</v>
      </c>
      <c r="D219" s="4">
        <v>6</v>
      </c>
      <c r="E219" s="3" t="s">
        <v>31</v>
      </c>
      <c r="I219"/>
    </row>
    <row r="220" spans="1:9" ht="30" customHeight="1" x14ac:dyDescent="0.25">
      <c r="A220" s="3" t="s">
        <v>733</v>
      </c>
      <c r="B220" s="33" t="s">
        <v>573</v>
      </c>
      <c r="C220" s="3" t="s">
        <v>318</v>
      </c>
      <c r="D220" s="4">
        <v>1</v>
      </c>
      <c r="E220" s="3" t="s">
        <v>31</v>
      </c>
      <c r="I220"/>
    </row>
    <row r="221" spans="1:9" ht="30" customHeight="1" x14ac:dyDescent="0.25">
      <c r="A221" s="3" t="s">
        <v>734</v>
      </c>
      <c r="B221" s="33" t="s">
        <v>567</v>
      </c>
      <c r="C221" s="3" t="s">
        <v>318</v>
      </c>
      <c r="D221" s="4">
        <v>1</v>
      </c>
      <c r="E221" s="3" t="s">
        <v>31</v>
      </c>
      <c r="I221"/>
    </row>
    <row r="222" spans="1:9" ht="30" customHeight="1" x14ac:dyDescent="0.25">
      <c r="A222" s="3" t="s">
        <v>735</v>
      </c>
      <c r="B222" s="28" t="s">
        <v>130</v>
      </c>
      <c r="C222" s="3" t="s">
        <v>318</v>
      </c>
      <c r="D222" s="4">
        <v>32</v>
      </c>
      <c r="E222" s="3" t="s">
        <v>5</v>
      </c>
      <c r="I222"/>
    </row>
    <row r="223" spans="1:9" ht="30" customHeight="1" x14ac:dyDescent="0.25">
      <c r="A223" s="3" t="s">
        <v>736</v>
      </c>
      <c r="B223" s="28" t="s">
        <v>598</v>
      </c>
      <c r="C223" s="3" t="s">
        <v>318</v>
      </c>
      <c r="D223" s="4">
        <v>4</v>
      </c>
      <c r="E223" s="3" t="s">
        <v>5</v>
      </c>
      <c r="I223"/>
    </row>
    <row r="224" spans="1:9" ht="30" customHeight="1" x14ac:dyDescent="0.25">
      <c r="A224" s="3" t="s">
        <v>737</v>
      </c>
      <c r="B224" s="28" t="s">
        <v>88</v>
      </c>
      <c r="C224" s="3" t="s">
        <v>318</v>
      </c>
      <c r="D224" s="4">
        <v>1</v>
      </c>
      <c r="E224" s="3" t="s">
        <v>5</v>
      </c>
      <c r="I224"/>
    </row>
    <row r="225" spans="1:9" ht="30" customHeight="1" x14ac:dyDescent="0.25">
      <c r="A225" s="3" t="s">
        <v>738</v>
      </c>
      <c r="B225" s="28" t="s">
        <v>596</v>
      </c>
      <c r="C225" s="3" t="s">
        <v>318</v>
      </c>
      <c r="D225" s="4">
        <v>1</v>
      </c>
      <c r="E225" s="3" t="s">
        <v>31</v>
      </c>
      <c r="I225"/>
    </row>
    <row r="226" spans="1:9" ht="15" customHeight="1" x14ac:dyDescent="0.25">
      <c r="A226" s="179" t="s">
        <v>248</v>
      </c>
      <c r="B226" s="179" t="s">
        <v>439</v>
      </c>
      <c r="C226" s="179"/>
      <c r="D226" s="179"/>
      <c r="E226" s="179"/>
      <c r="I226"/>
    </row>
    <row r="227" spans="1:9" ht="30" customHeight="1" x14ac:dyDescent="0.25">
      <c r="A227" s="3" t="s">
        <v>247</v>
      </c>
      <c r="B227" s="28" t="s">
        <v>519</v>
      </c>
      <c r="C227" s="3" t="s">
        <v>740</v>
      </c>
      <c r="D227" s="29">
        <v>3072.72</v>
      </c>
      <c r="E227" s="27" t="s">
        <v>22</v>
      </c>
      <c r="I227"/>
    </row>
    <row r="228" spans="1:9" ht="30" customHeight="1" x14ac:dyDescent="0.25">
      <c r="A228" s="3" t="s">
        <v>249</v>
      </c>
      <c r="B228" s="28" t="s">
        <v>521</v>
      </c>
      <c r="C228" s="3" t="s">
        <v>740</v>
      </c>
      <c r="D228" s="29">
        <v>7</v>
      </c>
      <c r="E228" s="27" t="s">
        <v>31</v>
      </c>
      <c r="I228"/>
    </row>
    <row r="229" spans="1:9" ht="30" customHeight="1" x14ac:dyDescent="0.25">
      <c r="A229" s="3" t="s">
        <v>250</v>
      </c>
      <c r="B229" s="28" t="s">
        <v>520</v>
      </c>
      <c r="C229" s="3" t="s">
        <v>740</v>
      </c>
      <c r="D229" s="29">
        <v>14</v>
      </c>
      <c r="E229" s="27" t="s">
        <v>31</v>
      </c>
      <c r="I229"/>
    </row>
    <row r="230" spans="1:9" ht="19.5" customHeight="1" x14ac:dyDescent="0.25">
      <c r="A230" s="179" t="s">
        <v>251</v>
      </c>
      <c r="B230" s="179" t="s">
        <v>486</v>
      </c>
      <c r="C230" s="179"/>
      <c r="D230" s="179"/>
      <c r="E230" s="179"/>
      <c r="I230"/>
    </row>
    <row r="231" spans="1:9" ht="30" customHeight="1" x14ac:dyDescent="0.25">
      <c r="A231" s="3" t="s">
        <v>252</v>
      </c>
      <c r="B231" s="142" t="s">
        <v>518</v>
      </c>
      <c r="C231" s="3" t="s">
        <v>740</v>
      </c>
      <c r="D231" s="4">
        <v>1</v>
      </c>
      <c r="E231" s="27" t="s">
        <v>31</v>
      </c>
      <c r="I231"/>
    </row>
    <row r="232" spans="1:9" x14ac:dyDescent="0.25">
      <c r="A232" s="92" t="s">
        <v>253</v>
      </c>
      <c r="B232" s="92" t="s">
        <v>299</v>
      </c>
      <c r="C232" s="92"/>
      <c r="D232" s="92"/>
      <c r="E232" s="92"/>
    </row>
    <row r="233" spans="1:9" x14ac:dyDescent="0.25">
      <c r="A233" s="3" t="s">
        <v>254</v>
      </c>
      <c r="B233" s="28" t="s">
        <v>473</v>
      </c>
      <c r="C233" s="3" t="s">
        <v>740</v>
      </c>
      <c r="D233" s="29">
        <v>443.72</v>
      </c>
      <c r="E233" s="30" t="s">
        <v>22</v>
      </c>
    </row>
    <row r="234" spans="1:9" x14ac:dyDescent="0.25">
      <c r="A234" s="108"/>
      <c r="B234" s="109"/>
      <c r="C234" s="109"/>
      <c r="D234" s="109"/>
      <c r="E234" s="109"/>
    </row>
  </sheetData>
  <mergeCells count="12">
    <mergeCell ref="E8:E9"/>
    <mergeCell ref="A8:A9"/>
    <mergeCell ref="B8:B9"/>
    <mergeCell ref="C8:C9"/>
    <mergeCell ref="D8:D9"/>
    <mergeCell ref="A1:E1"/>
    <mergeCell ref="B2:E2"/>
    <mergeCell ref="B3:E3"/>
    <mergeCell ref="A6:E6"/>
    <mergeCell ref="A7:E7"/>
    <mergeCell ref="B4:E4"/>
    <mergeCell ref="B5:E5"/>
  </mergeCells>
  <phoneticPr fontId="8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48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tabSelected="1" view="pageBreakPreview" zoomScale="85" zoomScaleNormal="100" zoomScaleSheetLayoutView="85" workbookViewId="0">
      <selection activeCell="O29" sqref="O29"/>
    </sheetView>
  </sheetViews>
  <sheetFormatPr defaultRowHeight="15" x14ac:dyDescent="0.25"/>
  <sheetData/>
  <pageMargins left="0.31496062992125984" right="0.31496062992125984" top="0.39370078740157483" bottom="0.3937007874015748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1:G55"/>
  <sheetViews>
    <sheetView tabSelected="1" view="pageBreakPreview" topLeftCell="A13" zoomScale="98" zoomScaleNormal="100" zoomScaleSheetLayoutView="98" workbookViewId="0">
      <selection activeCell="O29" sqref="O29"/>
    </sheetView>
  </sheetViews>
  <sheetFormatPr defaultRowHeight="15" x14ac:dyDescent="0.25"/>
  <cols>
    <col min="1" max="1" width="6.85546875" customWidth="1"/>
    <col min="2" max="2" width="18.5703125" customWidth="1"/>
    <col min="3" max="3" width="30.140625" customWidth="1"/>
    <col min="4" max="4" width="22.7109375" customWidth="1"/>
    <col min="5" max="5" width="22" customWidth="1"/>
    <col min="6" max="6" width="25.140625" customWidth="1"/>
    <col min="10" max="10" width="0" hidden="1" customWidth="1"/>
  </cols>
  <sheetData>
    <row r="1" spans="2:7" ht="15.75" thickBot="1" x14ac:dyDescent="0.3"/>
    <row r="2" spans="2:7" ht="61.5" customHeight="1" thickBot="1" x14ac:dyDescent="0.3">
      <c r="B2" s="386" t="s">
        <v>386</v>
      </c>
      <c r="C2" s="387"/>
      <c r="D2" s="387"/>
      <c r="E2" s="387"/>
      <c r="F2" s="388"/>
    </row>
    <row r="3" spans="2:7" ht="15.75" thickBot="1" x14ac:dyDescent="0.3">
      <c r="B3" s="62" t="s">
        <v>12</v>
      </c>
      <c r="C3" s="389" t="str">
        <f>'PLANILHA ORÇAMENTARIA'!B2</f>
        <v>ESCOLA MUNICIPAL DOMINGOS AZZONLINI</v>
      </c>
      <c r="D3" s="390"/>
      <c r="E3" s="390"/>
      <c r="F3" s="391"/>
    </row>
    <row r="4" spans="2:7" ht="15.75" thickBot="1" x14ac:dyDescent="0.3">
      <c r="B4" s="63" t="s">
        <v>13</v>
      </c>
      <c r="C4" s="389" t="str">
        <f>'PLANILHA ORÇAMENTARIA'!B3</f>
        <v>SANTO ANTÔNIO DO LESTE - MT</v>
      </c>
      <c r="D4" s="390"/>
      <c r="E4" s="390"/>
      <c r="F4" s="391"/>
    </row>
    <row r="5" spans="2:7" ht="15.75" thickBot="1" x14ac:dyDescent="0.3">
      <c r="B5" s="63" t="s">
        <v>14</v>
      </c>
      <c r="C5" s="389" t="str">
        <f>'PLANILHA ORÇAMENTARIA'!B4</f>
        <v>PREFEITURA MUNICIPAL DE SANTO ANTÔNIO DO LESTE - MT</v>
      </c>
      <c r="D5" s="390"/>
      <c r="E5" s="390"/>
      <c r="F5" s="391"/>
    </row>
    <row r="6" spans="2:7" ht="15.75" thickBot="1" x14ac:dyDescent="0.3">
      <c r="B6" s="64" t="s">
        <v>15</v>
      </c>
      <c r="C6" s="389">
        <f>'PLANILHA ORÇAMENTARIA'!B5</f>
        <v>44810</v>
      </c>
      <c r="D6" s="390"/>
      <c r="E6" s="390"/>
      <c r="F6" s="391"/>
    </row>
    <row r="7" spans="2:7" ht="16.5" thickBot="1" x14ac:dyDescent="0.3">
      <c r="B7" s="369" t="s">
        <v>255</v>
      </c>
      <c r="C7" s="370"/>
      <c r="D7" s="370"/>
      <c r="E7" s="370"/>
      <c r="F7" s="371"/>
    </row>
    <row r="8" spans="2:7" ht="15" customHeight="1" thickBot="1" x14ac:dyDescent="0.3">
      <c r="B8" s="372" t="s">
        <v>3</v>
      </c>
      <c r="C8" s="374" t="s">
        <v>256</v>
      </c>
      <c r="D8" s="375"/>
      <c r="E8" s="376"/>
      <c r="F8" s="65" t="s">
        <v>257</v>
      </c>
    </row>
    <row r="9" spans="2:7" ht="17.25" customHeight="1" thickBot="1" x14ac:dyDescent="0.3">
      <c r="B9" s="373"/>
      <c r="C9" s="377"/>
      <c r="D9" s="378"/>
      <c r="E9" s="379"/>
      <c r="F9" s="66" t="s">
        <v>258</v>
      </c>
    </row>
    <row r="10" spans="2:7" ht="15.75" thickBot="1" x14ac:dyDescent="0.3">
      <c r="B10" s="67" t="s">
        <v>18</v>
      </c>
      <c r="C10" s="380" t="s">
        <v>70</v>
      </c>
      <c r="D10" s="381"/>
      <c r="E10" s="382"/>
      <c r="F10" s="68">
        <v>6</v>
      </c>
    </row>
    <row r="11" spans="2:7" x14ac:dyDescent="0.25">
      <c r="B11" s="69" t="s">
        <v>21</v>
      </c>
      <c r="C11" s="383" t="s">
        <v>259</v>
      </c>
      <c r="D11" s="384"/>
      <c r="E11" s="385"/>
      <c r="F11" s="70">
        <v>4</v>
      </c>
    </row>
    <row r="12" spans="2:7" x14ac:dyDescent="0.25">
      <c r="B12" s="71" t="s">
        <v>151</v>
      </c>
      <c r="C12" s="359" t="s">
        <v>260</v>
      </c>
      <c r="D12" s="360"/>
      <c r="E12" s="361"/>
      <c r="F12" s="72">
        <v>1.23</v>
      </c>
    </row>
    <row r="13" spans="2:7" x14ac:dyDescent="0.25">
      <c r="B13" s="71" t="s">
        <v>153</v>
      </c>
      <c r="C13" s="359" t="s">
        <v>261</v>
      </c>
      <c r="D13" s="360"/>
      <c r="E13" s="361"/>
      <c r="F13" s="72">
        <v>1.27</v>
      </c>
    </row>
    <row r="14" spans="2:7" ht="15.75" thickBot="1" x14ac:dyDescent="0.3">
      <c r="B14" s="73" t="s">
        <v>262</v>
      </c>
      <c r="C14" s="362" t="s">
        <v>263</v>
      </c>
      <c r="D14" s="363"/>
      <c r="E14" s="364"/>
      <c r="F14" s="74">
        <v>0.8</v>
      </c>
    </row>
    <row r="15" spans="2:7" ht="13.5" customHeight="1" thickBot="1" x14ac:dyDescent="0.3">
      <c r="B15" s="365"/>
      <c r="C15" s="366"/>
      <c r="D15" s="366"/>
      <c r="E15" s="366"/>
      <c r="F15" s="367"/>
      <c r="G15" s="75"/>
    </row>
    <row r="16" spans="2:7" ht="15.75" thickBot="1" x14ac:dyDescent="0.3">
      <c r="B16" s="76" t="s">
        <v>25</v>
      </c>
      <c r="C16" s="368" t="s">
        <v>264</v>
      </c>
      <c r="D16" s="368"/>
      <c r="E16" s="368"/>
      <c r="F16" s="77">
        <v>7.4</v>
      </c>
    </row>
    <row r="17" spans="2:6" ht="15.75" thickBot="1" x14ac:dyDescent="0.3">
      <c r="B17" s="78" t="s">
        <v>26</v>
      </c>
      <c r="C17" s="392" t="s">
        <v>265</v>
      </c>
      <c r="D17" s="393"/>
      <c r="E17" s="394"/>
      <c r="F17" s="79">
        <v>7.4</v>
      </c>
    </row>
    <row r="18" spans="2:6" ht="9" customHeight="1" thickBot="1" x14ac:dyDescent="0.3">
      <c r="B18" s="365"/>
      <c r="C18" s="366"/>
      <c r="D18" s="366"/>
      <c r="E18" s="366"/>
      <c r="F18" s="367"/>
    </row>
    <row r="19" spans="2:6" ht="15.75" thickBot="1" x14ac:dyDescent="0.3">
      <c r="B19" s="80" t="s">
        <v>37</v>
      </c>
      <c r="C19" s="401" t="s">
        <v>266</v>
      </c>
      <c r="D19" s="368"/>
      <c r="E19" s="402"/>
      <c r="F19" s="81">
        <f>SUM(F20:F23)</f>
        <v>5.15</v>
      </c>
    </row>
    <row r="20" spans="2:6" x14ac:dyDescent="0.25">
      <c r="B20" s="82" t="s">
        <v>39</v>
      </c>
      <c r="C20" s="395" t="s">
        <v>267</v>
      </c>
      <c r="D20" s="396"/>
      <c r="E20" s="397"/>
      <c r="F20" s="83">
        <v>1.5</v>
      </c>
    </row>
    <row r="21" spans="2:6" x14ac:dyDescent="0.25">
      <c r="B21" s="84" t="s">
        <v>40</v>
      </c>
      <c r="C21" s="398" t="s">
        <v>268</v>
      </c>
      <c r="D21" s="399"/>
      <c r="E21" s="400"/>
      <c r="F21" s="85">
        <v>3</v>
      </c>
    </row>
    <row r="22" spans="2:6" x14ac:dyDescent="0.25">
      <c r="B22" s="84" t="s">
        <v>41</v>
      </c>
      <c r="C22" s="398" t="s">
        <v>269</v>
      </c>
      <c r="D22" s="399"/>
      <c r="E22" s="400"/>
      <c r="F22" s="85">
        <v>0.65</v>
      </c>
    </row>
    <row r="23" spans="2:6" ht="15.75" thickBot="1" x14ac:dyDescent="0.3">
      <c r="B23" s="86" t="s">
        <v>42</v>
      </c>
      <c r="C23" s="403" t="s">
        <v>270</v>
      </c>
      <c r="D23" s="404"/>
      <c r="E23" s="405"/>
      <c r="F23" s="87">
        <v>0</v>
      </c>
    </row>
    <row r="24" spans="2:6" x14ac:dyDescent="0.25">
      <c r="B24" s="430" t="s">
        <v>281</v>
      </c>
      <c r="C24" s="431"/>
      <c r="D24" s="431"/>
      <c r="E24" s="431"/>
      <c r="F24" s="432"/>
    </row>
    <row r="25" spans="2:6" ht="15.75" thickBot="1" x14ac:dyDescent="0.3">
      <c r="B25" s="433" t="s">
        <v>282</v>
      </c>
      <c r="C25" s="434"/>
      <c r="D25" s="434"/>
      <c r="E25" s="434"/>
      <c r="F25" s="435"/>
    </row>
    <row r="26" spans="2:6" ht="15" customHeight="1" thickBot="1" x14ac:dyDescent="0.3">
      <c r="B26" s="406" t="s">
        <v>271</v>
      </c>
      <c r="C26" s="407"/>
      <c r="D26" s="407"/>
      <c r="E26" s="408"/>
      <c r="F26" s="88">
        <f>ROUND(((((1+F11/100+F14/100+F13/100)*(1+F12/100)*(1+F16/100))/(1-F19/100))-1),4)</f>
        <v>0.21579999999999999</v>
      </c>
    </row>
    <row r="27" spans="2:6" ht="15.75" customHeight="1" thickBot="1" x14ac:dyDescent="0.3">
      <c r="B27" s="406" t="s">
        <v>272</v>
      </c>
      <c r="C27" s="407"/>
      <c r="D27" s="407"/>
      <c r="E27" s="408"/>
      <c r="F27" s="89">
        <f>'PLANILHA ORÇAMENTARIA'!J225</f>
        <v>2844335.0454362854</v>
      </c>
    </row>
    <row r="28" spans="2:6" ht="18.75" customHeight="1" thickBot="1" x14ac:dyDescent="0.3">
      <c r="B28" s="415" t="s">
        <v>273</v>
      </c>
      <c r="C28" s="416"/>
      <c r="D28" s="416"/>
      <c r="E28" s="416"/>
      <c r="F28" s="417"/>
    </row>
    <row r="29" spans="2:6" ht="15.75" thickBot="1" x14ac:dyDescent="0.3">
      <c r="B29" s="415" t="s">
        <v>274</v>
      </c>
      <c r="C29" s="416"/>
      <c r="D29" s="416"/>
      <c r="E29" s="416"/>
      <c r="F29" s="417"/>
    </row>
    <row r="30" spans="2:6" x14ac:dyDescent="0.25">
      <c r="B30" s="418"/>
      <c r="C30" s="419"/>
      <c r="D30" s="419"/>
      <c r="E30" s="419"/>
      <c r="F30" s="420"/>
    </row>
    <row r="31" spans="2:6" x14ac:dyDescent="0.25">
      <c r="B31" s="421"/>
      <c r="C31" s="422"/>
      <c r="D31" s="422"/>
      <c r="E31" s="422"/>
      <c r="F31" s="423"/>
    </row>
    <row r="32" spans="2:6" x14ac:dyDescent="0.25">
      <c r="B32" s="421"/>
      <c r="C32" s="422"/>
      <c r="D32" s="422"/>
      <c r="E32" s="422"/>
      <c r="F32" s="423"/>
    </row>
    <row r="33" spans="2:6" ht="8.25" customHeight="1" thickBot="1" x14ac:dyDescent="0.3">
      <c r="B33" s="424"/>
      <c r="C33" s="425"/>
      <c r="D33" s="425"/>
      <c r="E33" s="425"/>
      <c r="F33" s="426"/>
    </row>
    <row r="34" spans="2:6" ht="15.75" thickBot="1" x14ac:dyDescent="0.3">
      <c r="B34" s="427" t="s">
        <v>275</v>
      </c>
      <c r="C34" s="428"/>
      <c r="D34" s="428"/>
      <c r="E34" s="428"/>
      <c r="F34" s="429"/>
    </row>
    <row r="35" spans="2:6" ht="15.75" thickBot="1" x14ac:dyDescent="0.3">
      <c r="B35" s="412" t="s">
        <v>284</v>
      </c>
      <c r="C35" s="413"/>
      <c r="D35" s="413"/>
      <c r="E35" s="413"/>
      <c r="F35" s="414"/>
    </row>
    <row r="36" spans="2:6" ht="4.5" customHeight="1" thickBot="1" x14ac:dyDescent="0.3">
      <c r="B36" s="365"/>
      <c r="C36" s="366"/>
      <c r="D36" s="366"/>
      <c r="E36" s="366"/>
      <c r="F36" s="367"/>
    </row>
    <row r="37" spans="2:6" ht="15.75" thickBot="1" x14ac:dyDescent="0.3">
      <c r="B37" s="412" t="s">
        <v>283</v>
      </c>
      <c r="C37" s="413"/>
      <c r="D37" s="413"/>
      <c r="E37" s="413"/>
      <c r="F37" s="414"/>
    </row>
    <row r="38" spans="2:6" ht="15" customHeight="1" x14ac:dyDescent="0.25">
      <c r="B38" s="436" t="s">
        <v>276</v>
      </c>
      <c r="C38" s="437"/>
      <c r="D38" s="437"/>
      <c r="E38" s="437"/>
      <c r="F38" s="438"/>
    </row>
    <row r="39" spans="2:6" ht="15" customHeight="1" x14ac:dyDescent="0.25">
      <c r="B39" s="2"/>
      <c r="F39" s="90"/>
    </row>
    <row r="40" spans="2:6" ht="15" customHeight="1" x14ac:dyDescent="0.25">
      <c r="B40" s="2"/>
      <c r="F40" s="90"/>
    </row>
    <row r="41" spans="2:6" ht="15" customHeight="1" x14ac:dyDescent="0.25">
      <c r="B41" s="2"/>
      <c r="F41" s="90"/>
    </row>
    <row r="42" spans="2:6" ht="15" customHeight="1" x14ac:dyDescent="0.25">
      <c r="B42" s="2"/>
      <c r="F42" s="90"/>
    </row>
    <row r="43" spans="2:6" ht="15" customHeight="1" x14ac:dyDescent="0.25">
      <c r="B43" s="439" t="s">
        <v>277</v>
      </c>
      <c r="C43" s="440"/>
      <c r="D43" s="440"/>
      <c r="E43" s="440"/>
      <c r="F43" s="441"/>
    </row>
    <row r="44" spans="2:6" ht="15" customHeight="1" x14ac:dyDescent="0.25">
      <c r="B44" s="442" t="s">
        <v>279</v>
      </c>
      <c r="C44" s="443"/>
      <c r="D44" s="443"/>
      <c r="E44" s="443"/>
      <c r="F44" s="444"/>
    </row>
    <row r="45" spans="2:6" ht="15" customHeight="1" x14ac:dyDescent="0.25">
      <c r="B45" s="409" t="s">
        <v>278</v>
      </c>
      <c r="C45" s="410"/>
      <c r="D45" s="410"/>
      <c r="E45" s="410"/>
      <c r="F45" s="411"/>
    </row>
    <row r="46" spans="2:6" ht="15" customHeight="1" x14ac:dyDescent="0.25">
      <c r="B46" s="409" t="s">
        <v>280</v>
      </c>
      <c r="C46" s="410"/>
      <c r="D46" s="410"/>
      <c r="E46" s="410"/>
      <c r="F46" s="411"/>
    </row>
    <row r="47" spans="2:6" ht="22.5" customHeight="1" thickBot="1" x14ac:dyDescent="0.3">
      <c r="B47" s="445"/>
      <c r="C47" s="446"/>
      <c r="D47" s="446"/>
      <c r="E47" s="446"/>
      <c r="F47" s="447"/>
    </row>
    <row r="53" spans="2:7" x14ac:dyDescent="0.25">
      <c r="B53" s="410"/>
      <c r="C53" s="410"/>
      <c r="D53" s="410"/>
      <c r="E53" s="410"/>
      <c r="F53" s="410"/>
      <c r="G53" s="410"/>
    </row>
    <row r="54" spans="2:7" x14ac:dyDescent="0.25">
      <c r="B54" s="410"/>
      <c r="C54" s="410"/>
      <c r="D54" s="410"/>
      <c r="E54" s="410"/>
      <c r="F54" s="410"/>
      <c r="G54" s="410"/>
    </row>
    <row r="55" spans="2:7" x14ac:dyDescent="0.25">
      <c r="B55" s="410"/>
      <c r="C55" s="410"/>
      <c r="D55" s="410"/>
      <c r="E55" s="410"/>
      <c r="F55" s="410"/>
      <c r="G55" s="410"/>
    </row>
  </sheetData>
  <mergeCells count="42">
    <mergeCell ref="B46:F46"/>
    <mergeCell ref="B47:F47"/>
    <mergeCell ref="B53:G53"/>
    <mergeCell ref="B54:G54"/>
    <mergeCell ref="B55:G55"/>
    <mergeCell ref="C23:E23"/>
    <mergeCell ref="B26:E26"/>
    <mergeCell ref="B45:F45"/>
    <mergeCell ref="B36:F36"/>
    <mergeCell ref="B37:F37"/>
    <mergeCell ref="B27:E27"/>
    <mergeCell ref="B28:F28"/>
    <mergeCell ref="B29:F29"/>
    <mergeCell ref="B30:F33"/>
    <mergeCell ref="B34:F34"/>
    <mergeCell ref="B35:F35"/>
    <mergeCell ref="B24:F24"/>
    <mergeCell ref="B25:F25"/>
    <mergeCell ref="B38:F38"/>
    <mergeCell ref="B43:F43"/>
    <mergeCell ref="B44:F44"/>
    <mergeCell ref="C17:E17"/>
    <mergeCell ref="B18:F18"/>
    <mergeCell ref="C20:E20"/>
    <mergeCell ref="C21:E21"/>
    <mergeCell ref="C22:E22"/>
    <mergeCell ref="C19:E19"/>
    <mergeCell ref="B2:F2"/>
    <mergeCell ref="C3:F3"/>
    <mergeCell ref="C4:F4"/>
    <mergeCell ref="C5:F5"/>
    <mergeCell ref="C6:F6"/>
    <mergeCell ref="B7:F7"/>
    <mergeCell ref="B8:B9"/>
    <mergeCell ref="C8:E9"/>
    <mergeCell ref="C10:E10"/>
    <mergeCell ref="C11:E11"/>
    <mergeCell ref="C12:E12"/>
    <mergeCell ref="C13:E13"/>
    <mergeCell ref="C14:E14"/>
    <mergeCell ref="B15:F15"/>
    <mergeCell ref="C16:E16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K34"/>
  <sheetViews>
    <sheetView tabSelected="1" view="pageBreakPreview" topLeftCell="A10" zoomScale="106" zoomScaleNormal="100" zoomScaleSheetLayoutView="106" workbookViewId="0">
      <selection activeCell="O29" sqref="O29"/>
    </sheetView>
  </sheetViews>
  <sheetFormatPr defaultRowHeight="15" x14ac:dyDescent="0.25"/>
  <cols>
    <col min="2" max="2" width="78.5703125" customWidth="1"/>
    <col min="3" max="3" width="15.85546875" customWidth="1"/>
    <col min="4" max="4" width="15.5703125" customWidth="1"/>
  </cols>
  <sheetData>
    <row r="1" spans="1:11" ht="61.5" customHeight="1" thickBot="1" x14ac:dyDescent="0.3">
      <c r="A1" s="448" t="s">
        <v>386</v>
      </c>
      <c r="B1" s="449"/>
      <c r="C1" s="449"/>
      <c r="D1" s="450"/>
      <c r="E1" s="18"/>
      <c r="F1" s="18"/>
      <c r="G1" s="18"/>
      <c r="H1" s="18"/>
      <c r="I1" s="18"/>
      <c r="J1" s="18"/>
      <c r="K1" s="19"/>
    </row>
    <row r="2" spans="1:11" x14ac:dyDescent="0.25">
      <c r="A2" s="161" t="s">
        <v>12</v>
      </c>
      <c r="B2" s="463" t="str">
        <f>'PLANILHA ORÇAMENTARIA'!B2:E2</f>
        <v>ESCOLA MUNICIPAL DOMINGOS AZZONLINI</v>
      </c>
      <c r="C2" s="463"/>
      <c r="D2" s="464"/>
      <c r="E2" s="26"/>
      <c r="F2" s="19"/>
    </row>
    <row r="3" spans="1:11" x14ac:dyDescent="0.25">
      <c r="A3" s="114" t="s">
        <v>13</v>
      </c>
      <c r="B3" s="465" t="str">
        <f>'PLANILHA ORÇAMENTARIA'!B3:E3</f>
        <v>SANTO ANTÔNIO DO LESTE - MT</v>
      </c>
      <c r="C3" s="465"/>
      <c r="D3" s="466"/>
      <c r="E3" s="26"/>
      <c r="F3" s="19"/>
    </row>
    <row r="4" spans="1:11" x14ac:dyDescent="0.25">
      <c r="A4" s="114" t="s">
        <v>14</v>
      </c>
      <c r="B4" s="465" t="str">
        <f>'PLANILHA ORÇAMENTARIA'!B4:E4</f>
        <v>PREFEITURA MUNICIPAL DE SANTO ANTÔNIO DO LESTE - MT</v>
      </c>
      <c r="C4" s="465"/>
      <c r="D4" s="466"/>
      <c r="E4" s="26"/>
      <c r="F4" s="19"/>
    </row>
    <row r="5" spans="1:11" x14ac:dyDescent="0.25">
      <c r="A5" s="114" t="s">
        <v>15</v>
      </c>
      <c r="B5" s="467">
        <f>'PLANILHA ORÇAMENTARIA'!B5:E5</f>
        <v>44810</v>
      </c>
      <c r="C5" s="467"/>
      <c r="D5" s="468"/>
      <c r="E5" s="26"/>
      <c r="F5" s="19"/>
    </row>
    <row r="6" spans="1:11" ht="15.75" thickBot="1" x14ac:dyDescent="0.3">
      <c r="A6" s="454"/>
      <c r="B6" s="455"/>
      <c r="C6" s="455"/>
      <c r="D6" s="456"/>
      <c r="E6" s="19"/>
      <c r="F6" s="19"/>
    </row>
    <row r="7" spans="1:11" ht="19.5" x14ac:dyDescent="0.25">
      <c r="A7" s="457" t="s">
        <v>55</v>
      </c>
      <c r="B7" s="458"/>
      <c r="C7" s="458"/>
      <c r="D7" s="459"/>
      <c r="E7" s="19"/>
      <c r="F7" s="19"/>
    </row>
    <row r="8" spans="1:11" x14ac:dyDescent="0.25">
      <c r="A8" s="460" t="s">
        <v>3</v>
      </c>
      <c r="B8" s="461" t="s">
        <v>4</v>
      </c>
      <c r="C8" s="461" t="s">
        <v>56</v>
      </c>
      <c r="D8" s="462" t="s">
        <v>57</v>
      </c>
    </row>
    <row r="9" spans="1:11" x14ac:dyDescent="0.25">
      <c r="A9" s="460"/>
      <c r="B9" s="461"/>
      <c r="C9" s="461"/>
      <c r="D9" s="462"/>
    </row>
    <row r="10" spans="1:11" x14ac:dyDescent="0.25">
      <c r="A10" s="71" t="str">
        <f>'PLANILHA ORÇAMENTARIA'!C10</f>
        <v>1.0</v>
      </c>
      <c r="B10" s="140" t="str">
        <f>'PLANILHA ORÇAMENTARIA'!D10</f>
        <v>SERVIÇOS PRELIMINÁRES</v>
      </c>
      <c r="C10" s="9">
        <f>'PLANILHA ORÇAMENTARIA'!J10</f>
        <v>151434.2481634854</v>
      </c>
      <c r="D10" s="175">
        <f>C10/C$26</f>
        <v>5.3240650536743393E-2</v>
      </c>
    </row>
    <row r="11" spans="1:11" x14ac:dyDescent="0.25">
      <c r="A11" s="71" t="str">
        <f>'PLANILHA ORÇAMENTARIA'!C14</f>
        <v>2.0</v>
      </c>
      <c r="B11" s="140" t="str">
        <f>'PLANILHA ORÇAMENTARIA'!D14</f>
        <v>MOVIMENTO DE TERRA - FUNDAÇÃO E VIGAS BALDRAME</v>
      </c>
      <c r="C11" s="9">
        <f>'PLANILHA ORÇAMENTARIA'!J14</f>
        <v>2042.8260495587351</v>
      </c>
      <c r="D11" s="175">
        <f t="shared" ref="D11:D25" si="0">C11/C$26</f>
        <v>7.182086557757794E-4</v>
      </c>
    </row>
    <row r="12" spans="1:11" x14ac:dyDescent="0.25">
      <c r="A12" s="71" t="str">
        <f>'PLANILHA ORÇAMENTARIA'!C19</f>
        <v>3.0</v>
      </c>
      <c r="B12" s="140" t="str">
        <f>'PLANILHA ORÇAMENTARIA'!D19</f>
        <v>FUNDAÇÃO  - SAPATA E VIGAS BALDRAME</v>
      </c>
      <c r="C12" s="9">
        <f>'PLANILHA ORÇAMENTARIA'!J19</f>
        <v>15637.80519187</v>
      </c>
      <c r="D12" s="175">
        <f t="shared" si="0"/>
        <v>5.4978773393664516E-3</v>
      </c>
    </row>
    <row r="13" spans="1:11" x14ac:dyDescent="0.25">
      <c r="A13" s="71" t="s">
        <v>43</v>
      </c>
      <c r="B13" s="140" t="str">
        <f>'PLANILHA ORÇAMENTARIA'!D30</f>
        <v>PILAR</v>
      </c>
      <c r="C13" s="9">
        <f>'PLANILHA ORÇAMENTARIA'!J30</f>
        <v>8270.4174942000009</v>
      </c>
      <c r="D13" s="175">
        <f t="shared" si="0"/>
        <v>2.907680481408062E-3</v>
      </c>
    </row>
    <row r="14" spans="1:11" x14ac:dyDescent="0.25">
      <c r="A14" s="71" t="s">
        <v>44</v>
      </c>
      <c r="B14" s="140" t="str">
        <f>'PLANILHA ORÇAMENTARIA'!D36</f>
        <v>VIGAS</v>
      </c>
      <c r="C14" s="9">
        <f>'PLANILHA ORÇAMENTARIA'!J36</f>
        <v>9943.5540380000002</v>
      </c>
      <c r="D14" s="175">
        <f t="shared" si="0"/>
        <v>3.4959151714402843E-3</v>
      </c>
    </row>
    <row r="15" spans="1:11" x14ac:dyDescent="0.25">
      <c r="A15" s="71" t="s">
        <v>45</v>
      </c>
      <c r="B15" s="140" t="str">
        <f>'PLANILHA ORÇAMENTARIA'!D41</f>
        <v>IMPERMEABILIZAÇÃO - VIGAS BALDRAMES</v>
      </c>
      <c r="C15" s="9">
        <f>'PLANILHA ORÇAMENTARIA'!J41</f>
        <v>2144.7234307680001</v>
      </c>
      <c r="D15" s="175">
        <f t="shared" si="0"/>
        <v>7.5403333169529133E-4</v>
      </c>
    </row>
    <row r="16" spans="1:11" x14ac:dyDescent="0.25">
      <c r="A16" s="71" t="s">
        <v>47</v>
      </c>
      <c r="B16" s="140" t="str">
        <f>'PLANILHA ORÇAMENTARIA'!D43</f>
        <v>SISTEMA DE VEDAÇÃO (ALVENARIA)</v>
      </c>
      <c r="C16" s="9">
        <f>'PLANILHA ORÇAMENTARIA'!J43</f>
        <v>34430.819528700005</v>
      </c>
      <c r="D16" s="175">
        <f t="shared" si="0"/>
        <v>1.2105050557930579E-2</v>
      </c>
    </row>
    <row r="17" spans="1:5" x14ac:dyDescent="0.25">
      <c r="A17" s="71" t="s">
        <v>48</v>
      </c>
      <c r="B17" s="140" t="str">
        <f>'PLANILHA ORÇAMENTARIA'!D47</f>
        <v>PINTURA</v>
      </c>
      <c r="C17" s="9">
        <f>'PLANILHA ORÇAMENTARIA'!J47</f>
        <v>165134.17446125997</v>
      </c>
      <c r="D17" s="175">
        <f t="shared" si="0"/>
        <v>5.8057216123753259E-2</v>
      </c>
    </row>
    <row r="18" spans="1:5" x14ac:dyDescent="0.25">
      <c r="A18" s="71" t="s">
        <v>49</v>
      </c>
      <c r="B18" s="140" t="str">
        <f>'PLANILHA ORÇAMENTARIA'!D54</f>
        <v>SISTEMA DE COBERTURA</v>
      </c>
      <c r="C18" s="9">
        <f>'PLANILHA ORÇAMENTARIA'!J54</f>
        <v>1447864.4846169739</v>
      </c>
      <c r="D18" s="175">
        <f t="shared" si="0"/>
        <v>0.50903443563727202</v>
      </c>
    </row>
    <row r="19" spans="1:5" x14ac:dyDescent="0.25">
      <c r="A19" s="71" t="s">
        <v>51</v>
      </c>
      <c r="B19" s="140" t="str">
        <f>'PLANILHA ORÇAMENTARIA'!D70</f>
        <v>PISOS E CONTRAPISOS</v>
      </c>
      <c r="C19" s="9">
        <f>'PLANILHA ORÇAMENTARIA'!J70</f>
        <v>486207.0184999085</v>
      </c>
      <c r="D19" s="175">
        <f t="shared" si="0"/>
        <v>0.17093872934555446</v>
      </c>
    </row>
    <row r="20" spans="1:5" x14ac:dyDescent="0.25">
      <c r="A20" s="71" t="s">
        <v>52</v>
      </c>
      <c r="B20" s="140" t="str">
        <f>'PLANILHA ORÇAMENTARIA'!D76</f>
        <v>ESQUADRIAS</v>
      </c>
      <c r="C20" s="9">
        <f>'PLANILHA ORÇAMENTARIA'!J76</f>
        <v>144697.54350857998</v>
      </c>
      <c r="D20" s="175">
        <f t="shared" si="0"/>
        <v>5.0872186713990013E-2</v>
      </c>
    </row>
    <row r="21" spans="1:5" x14ac:dyDescent="0.25">
      <c r="A21" s="71" t="s">
        <v>53</v>
      </c>
      <c r="B21" s="140" t="str">
        <f>'PLANILHA ORÇAMENTARIA'!D85</f>
        <v>INSTALAÇÕES HIDROSSANITÁRIAS</v>
      </c>
      <c r="C21" s="9">
        <f>'PLANILHA ORÇAMENTARIA'!J85</f>
        <v>60349.674589375994</v>
      </c>
      <c r="D21" s="175">
        <f t="shared" si="0"/>
        <v>2.1217498510313192E-2</v>
      </c>
    </row>
    <row r="22" spans="1:5" x14ac:dyDescent="0.25">
      <c r="A22" s="71" t="s">
        <v>376</v>
      </c>
      <c r="B22" s="140" t="str">
        <f>'PLANILHA ORÇAMENTARIA'!D143</f>
        <v>INSTALAÇÕES ELÉTRICAS</v>
      </c>
      <c r="C22" s="9">
        <f>'PLANILHA ORÇAMENTARIA'!J143</f>
        <v>200889.6696775248</v>
      </c>
      <c r="D22" s="175">
        <f t="shared" si="0"/>
        <v>7.0627990890120618E-2</v>
      </c>
    </row>
    <row r="23" spans="1:5" x14ac:dyDescent="0.25">
      <c r="A23" s="71" t="s">
        <v>248</v>
      </c>
      <c r="B23" s="140" t="str">
        <f>'PLANILHA ORÇAMENTARIA'!D217</f>
        <v>PAISAGISMO</v>
      </c>
      <c r="C23" s="9">
        <f>'PLANILHA ORÇAMENTARIA'!J217</f>
        <v>75911.137547280014</v>
      </c>
      <c r="D23" s="175">
        <f t="shared" si="0"/>
        <v>2.668853575076497E-2</v>
      </c>
    </row>
    <row r="24" spans="1:5" x14ac:dyDescent="0.25">
      <c r="A24" s="71" t="s">
        <v>251</v>
      </c>
      <c r="B24" s="140" t="str">
        <f>'PLANILHA ORÇAMENTARIA'!D221</f>
        <v>PLAYGROUND</v>
      </c>
      <c r="C24" s="9">
        <f>'PLANILHA ORÇAMENTARIA'!J221</f>
        <v>32713.506283999999</v>
      </c>
      <c r="D24" s="175">
        <f t="shared" si="0"/>
        <v>1.1501284399138764E-2</v>
      </c>
    </row>
    <row r="25" spans="1:5" x14ac:dyDescent="0.25">
      <c r="A25" s="71" t="s">
        <v>253</v>
      </c>
      <c r="B25" s="140" t="str">
        <f>'PLANILHA ORÇAMENTARIA'!D223</f>
        <v xml:space="preserve">SERVIÇOS FINAIS COMPLEMENTARES </v>
      </c>
      <c r="C25" s="9">
        <f>'PLANILHA ORÇAMENTARIA'!J223</f>
        <v>6663.4423547999995</v>
      </c>
      <c r="D25" s="175">
        <f t="shared" si="0"/>
        <v>2.3427065547328694E-3</v>
      </c>
    </row>
    <row r="26" spans="1:5" ht="15.75" thickBot="1" x14ac:dyDescent="0.3">
      <c r="A26" s="452" t="s">
        <v>59</v>
      </c>
      <c r="B26" s="453"/>
      <c r="C26" s="152">
        <f>SUM(C10:C25)</f>
        <v>2844335.0454362854</v>
      </c>
      <c r="D26" s="176">
        <f>(SUM(D10:D25))</f>
        <v>1</v>
      </c>
      <c r="E26" s="97"/>
    </row>
    <row r="27" spans="1:5" x14ac:dyDescent="0.25">
      <c r="A27" s="1"/>
    </row>
    <row r="28" spans="1:5" x14ac:dyDescent="0.25">
      <c r="A28" s="451" t="str">
        <f>'PLANILHA ORÇAMENTARIA'!A227:D227</f>
        <v>SANTO ANTONIO DO LESTE - MT, 06 DE SETEMBRO DE 2022</v>
      </c>
      <c r="B28" s="451"/>
      <c r="C28" s="451"/>
      <c r="D28" s="451"/>
    </row>
    <row r="32" spans="1:5" x14ac:dyDescent="0.25">
      <c r="A32" s="410" t="s">
        <v>54</v>
      </c>
      <c r="B32" s="410"/>
      <c r="C32" s="410"/>
      <c r="D32" s="410"/>
    </row>
    <row r="33" spans="1:4" x14ac:dyDescent="0.25">
      <c r="A33" s="410" t="s">
        <v>279</v>
      </c>
      <c r="B33" s="410"/>
      <c r="C33" s="410"/>
      <c r="D33" s="410"/>
    </row>
    <row r="34" spans="1:4" x14ac:dyDescent="0.25">
      <c r="A34" s="410" t="s">
        <v>286</v>
      </c>
      <c r="B34" s="410"/>
      <c r="C34" s="410"/>
      <c r="D34" s="410"/>
    </row>
  </sheetData>
  <mergeCells count="16">
    <mergeCell ref="A1:D1"/>
    <mergeCell ref="A33:D33"/>
    <mergeCell ref="A34:D34"/>
    <mergeCell ref="A28:D28"/>
    <mergeCell ref="A26:B26"/>
    <mergeCell ref="A6:D6"/>
    <mergeCell ref="A7:D7"/>
    <mergeCell ref="A8:A9"/>
    <mergeCell ref="B8:B9"/>
    <mergeCell ref="C8:C9"/>
    <mergeCell ref="D8:D9"/>
    <mergeCell ref="A32:D32"/>
    <mergeCell ref="B2:D2"/>
    <mergeCell ref="B3:D3"/>
    <mergeCell ref="B4:D4"/>
    <mergeCell ref="B5:D5"/>
  </mergeCells>
  <phoneticPr fontId="8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7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A1:J237"/>
  <sheetViews>
    <sheetView tabSelected="1" topLeftCell="A213" zoomScale="80" zoomScaleNormal="80" zoomScaleSheetLayoutView="85" workbookViewId="0">
      <selection activeCell="O29" sqref="O29"/>
    </sheetView>
  </sheetViews>
  <sheetFormatPr defaultRowHeight="15" x14ac:dyDescent="0.25"/>
  <cols>
    <col min="1" max="1" width="14" customWidth="1"/>
    <col min="2" max="2" width="10.42578125" customWidth="1"/>
    <col min="3" max="3" width="6.140625" bestFit="1" customWidth="1"/>
    <col min="4" max="4" width="85.28515625" bestFit="1" customWidth="1"/>
    <col min="5" max="5" width="5.7109375" bestFit="1" customWidth="1"/>
    <col min="6" max="6" width="13.140625" bestFit="1" customWidth="1"/>
    <col min="7" max="7" width="13.85546875" bestFit="1" customWidth="1"/>
    <col min="8" max="8" width="17.7109375" bestFit="1" customWidth="1"/>
    <col min="9" max="9" width="18" style="24" customWidth="1"/>
    <col min="10" max="10" width="25.42578125" bestFit="1" customWidth="1"/>
  </cols>
  <sheetData>
    <row r="1" spans="1:10" ht="88.5" customHeight="1" thickBot="1" x14ac:dyDescent="0.3">
      <c r="A1" s="479" t="s">
        <v>386</v>
      </c>
      <c r="B1" s="480"/>
      <c r="C1" s="480"/>
      <c r="D1" s="480"/>
      <c r="E1" s="480"/>
      <c r="F1" s="480"/>
      <c r="G1" s="480"/>
      <c r="H1" s="480"/>
      <c r="I1" s="480"/>
      <c r="J1" s="481"/>
    </row>
    <row r="2" spans="1:10" x14ac:dyDescent="0.25">
      <c r="A2" s="113" t="s">
        <v>12</v>
      </c>
      <c r="B2" s="472" t="s">
        <v>387</v>
      </c>
      <c r="C2" s="472"/>
      <c r="D2" s="472"/>
      <c r="E2" s="473"/>
      <c r="F2" s="421" t="s">
        <v>16</v>
      </c>
      <c r="G2" s="423"/>
      <c r="H2" s="421" t="s">
        <v>292</v>
      </c>
      <c r="I2" s="422"/>
      <c r="J2" s="423"/>
    </row>
    <row r="3" spans="1:10" ht="15.75" thickBot="1" x14ac:dyDescent="0.3">
      <c r="A3" s="114" t="s">
        <v>13</v>
      </c>
      <c r="B3" s="474" t="s">
        <v>388</v>
      </c>
      <c r="C3" s="474"/>
      <c r="D3" s="474"/>
      <c r="E3" s="475"/>
      <c r="F3" s="424"/>
      <c r="G3" s="426"/>
      <c r="H3" s="424"/>
      <c r="I3" s="425"/>
      <c r="J3" s="426"/>
    </row>
    <row r="4" spans="1:10" x14ac:dyDescent="0.25">
      <c r="A4" s="114" t="s">
        <v>14</v>
      </c>
      <c r="B4" s="474" t="s">
        <v>386</v>
      </c>
      <c r="C4" s="474"/>
      <c r="D4" s="474"/>
      <c r="E4" s="475"/>
      <c r="F4" s="418" t="s">
        <v>17</v>
      </c>
      <c r="G4" s="420"/>
      <c r="H4" s="484">
        <v>0.21579999999999999</v>
      </c>
      <c r="I4" s="485"/>
      <c r="J4" s="486"/>
    </row>
    <row r="5" spans="1:10" ht="15.75" thickBot="1" x14ac:dyDescent="0.3">
      <c r="A5" s="115" t="s">
        <v>15</v>
      </c>
      <c r="B5" s="476">
        <v>44810</v>
      </c>
      <c r="C5" s="477"/>
      <c r="D5" s="477"/>
      <c r="E5" s="478"/>
      <c r="F5" s="424"/>
      <c r="G5" s="426"/>
      <c r="H5" s="487"/>
      <c r="I5" s="488"/>
      <c r="J5" s="489"/>
    </row>
    <row r="6" spans="1:10" x14ac:dyDescent="0.25">
      <c r="A6" s="409"/>
      <c r="B6" s="482"/>
      <c r="C6" s="482"/>
      <c r="D6" s="482"/>
      <c r="E6" s="482"/>
      <c r="F6" s="482"/>
      <c r="G6" s="482"/>
      <c r="H6" s="482"/>
      <c r="I6" s="482"/>
      <c r="J6" s="411"/>
    </row>
    <row r="7" spans="1:10" ht="19.5" x14ac:dyDescent="0.25">
      <c r="A7" s="483" t="s">
        <v>0</v>
      </c>
      <c r="B7" s="483"/>
      <c r="C7" s="483"/>
      <c r="D7" s="483"/>
      <c r="E7" s="483"/>
      <c r="F7" s="483"/>
      <c r="G7" s="483"/>
      <c r="H7" s="483"/>
      <c r="I7" s="483"/>
      <c r="J7" s="483"/>
    </row>
    <row r="8" spans="1:10" x14ac:dyDescent="0.25">
      <c r="A8" s="461" t="s">
        <v>1</v>
      </c>
      <c r="B8" s="461" t="s">
        <v>2</v>
      </c>
      <c r="C8" s="461" t="s">
        <v>3</v>
      </c>
      <c r="D8" s="461" t="s">
        <v>4</v>
      </c>
      <c r="E8" s="461" t="s">
        <v>5</v>
      </c>
      <c r="F8" s="461" t="s">
        <v>6</v>
      </c>
      <c r="G8" s="461" t="s">
        <v>7</v>
      </c>
      <c r="H8" s="461"/>
      <c r="I8" s="461"/>
      <c r="J8" s="461"/>
    </row>
    <row r="9" spans="1:10" ht="30" x14ac:dyDescent="0.25">
      <c r="A9" s="461"/>
      <c r="B9" s="461"/>
      <c r="C9" s="461"/>
      <c r="D9" s="461"/>
      <c r="E9" s="461"/>
      <c r="F9" s="461"/>
      <c r="G9" s="10" t="s">
        <v>8</v>
      </c>
      <c r="H9" s="10" t="s">
        <v>9</v>
      </c>
      <c r="I9" s="22" t="s">
        <v>10</v>
      </c>
      <c r="J9" s="10" t="s">
        <v>11</v>
      </c>
    </row>
    <row r="10" spans="1:10" x14ac:dyDescent="0.25">
      <c r="A10" s="14"/>
      <c r="B10" s="14"/>
      <c r="C10" s="14" t="s">
        <v>18</v>
      </c>
      <c r="D10" s="14" t="s">
        <v>19</v>
      </c>
      <c r="E10" s="14"/>
      <c r="F10" s="14"/>
      <c r="G10" s="14"/>
      <c r="H10" s="14"/>
      <c r="I10" s="23">
        <f>(J10/J$225)</f>
        <v>5.3240650536743393E-2</v>
      </c>
      <c r="J10" s="11">
        <f>SUM(J11:J13)</f>
        <v>151434.2481634854</v>
      </c>
    </row>
    <row r="11" spans="1:10" x14ac:dyDescent="0.25">
      <c r="A11" s="3" t="s">
        <v>20</v>
      </c>
      <c r="B11" s="3" t="s">
        <v>29</v>
      </c>
      <c r="C11" s="3" t="s">
        <v>21</v>
      </c>
      <c r="D11" s="28" t="s">
        <v>70</v>
      </c>
      <c r="E11" s="27" t="s">
        <v>35</v>
      </c>
      <c r="F11" s="29">
        <v>1</v>
      </c>
      <c r="G11" s="30">
        <f>COMPADM!H14</f>
        <v>120451.32</v>
      </c>
      <c r="H11" s="30">
        <f>G11*1.2158</f>
        <v>146444.71485600001</v>
      </c>
      <c r="I11" s="32">
        <f t="shared" ref="I11:I29" si="0">J11/J$225</f>
        <v>5.1486450265755247E-2</v>
      </c>
      <c r="J11" s="30">
        <f>H11*F11</f>
        <v>146444.71485600001</v>
      </c>
    </row>
    <row r="12" spans="1:10" ht="30" x14ac:dyDescent="0.25">
      <c r="A12" s="3" t="s">
        <v>20</v>
      </c>
      <c r="B12" s="3" t="s">
        <v>191</v>
      </c>
      <c r="C12" s="3" t="s">
        <v>151</v>
      </c>
      <c r="D12" s="28" t="str">
        <f>COMPADM!A18</f>
        <v>PLACA DE OBRA *2,4 X 1,2* M COM POSTE DE MADEIRA PARA FIXAÇÃO. INSTALAÇÃO E FORNECIMENTO.</v>
      </c>
      <c r="E12" s="27" t="s">
        <v>22</v>
      </c>
      <c r="F12" s="29">
        <v>2.88</v>
      </c>
      <c r="G12" s="30">
        <f>COMPADM!H26</f>
        <v>550.02200000000005</v>
      </c>
      <c r="H12" s="30">
        <f t="shared" ref="H12:H13" si="1">G12*1.2158</f>
        <v>668.71674760000008</v>
      </c>
      <c r="I12" s="32">
        <f t="shared" si="0"/>
        <v>6.7710174867693571E-4</v>
      </c>
      <c r="J12" s="30">
        <f t="shared" ref="J12:J13" si="2">H12*F12</f>
        <v>1925.9042330880002</v>
      </c>
    </row>
    <row r="13" spans="1:10" ht="30" x14ac:dyDescent="0.25">
      <c r="A13" s="3" t="s">
        <v>20</v>
      </c>
      <c r="B13" s="3">
        <v>99059</v>
      </c>
      <c r="C13" s="3" t="s">
        <v>153</v>
      </c>
      <c r="D13" s="28" t="s">
        <v>154</v>
      </c>
      <c r="E13" s="27" t="s">
        <v>24</v>
      </c>
      <c r="F13" s="29">
        <f>'QUADRO DE QUANTIDADES'!D13</f>
        <v>47.535300000000007</v>
      </c>
      <c r="G13" s="30">
        <v>53.01</v>
      </c>
      <c r="H13" s="30">
        <f t="shared" si="1"/>
        <v>64.449557999999996</v>
      </c>
      <c r="I13" s="32">
        <f t="shared" si="0"/>
        <v>1.0770985223112061E-3</v>
      </c>
      <c r="J13" s="30">
        <f t="shared" si="2"/>
        <v>3063.6290743974</v>
      </c>
    </row>
    <row r="14" spans="1:10" x14ac:dyDescent="0.25">
      <c r="A14" s="10"/>
      <c r="B14" s="10"/>
      <c r="C14" s="10" t="s">
        <v>25</v>
      </c>
      <c r="D14" s="10" t="s">
        <v>100</v>
      </c>
      <c r="E14" s="10"/>
      <c r="F14" s="10"/>
      <c r="G14" s="10"/>
      <c r="H14" s="10"/>
      <c r="I14" s="23">
        <f t="shared" si="0"/>
        <v>7.182086557757794E-4</v>
      </c>
      <c r="J14" s="11">
        <f>SUM(J15:J18)</f>
        <v>2042.8260495587351</v>
      </c>
    </row>
    <row r="15" spans="1:10" ht="30" x14ac:dyDescent="0.25">
      <c r="A15" s="3" t="s">
        <v>20</v>
      </c>
      <c r="B15" s="3">
        <v>101616</v>
      </c>
      <c r="C15" s="3" t="s">
        <v>26</v>
      </c>
      <c r="D15" s="28" t="s">
        <v>72</v>
      </c>
      <c r="E15" s="27" t="s">
        <v>22</v>
      </c>
      <c r="F15" s="29">
        <f>MEMCALFUND!G33</f>
        <v>13.973470000000001</v>
      </c>
      <c r="G15" s="30">
        <v>5.15</v>
      </c>
      <c r="H15" s="30">
        <f>G15*1.2158</f>
        <v>6.2613700000000003</v>
      </c>
      <c r="I15" s="57">
        <f t="shared" si="0"/>
        <v>3.0760464029820248E-5</v>
      </c>
      <c r="J15" s="30">
        <f>H15*F15</f>
        <v>87.493065853900006</v>
      </c>
    </row>
    <row r="16" spans="1:10" ht="30" x14ac:dyDescent="0.25">
      <c r="A16" s="3" t="s">
        <v>20</v>
      </c>
      <c r="B16" s="3">
        <v>96523</v>
      </c>
      <c r="C16" s="3" t="s">
        <v>27</v>
      </c>
      <c r="D16" s="28" t="s">
        <v>131</v>
      </c>
      <c r="E16" s="27" t="s">
        <v>23</v>
      </c>
      <c r="F16" s="29">
        <f>MEMCALFUND!C37</f>
        <v>10.145000000000001</v>
      </c>
      <c r="G16" s="30">
        <v>81.040000000000006</v>
      </c>
      <c r="H16" s="30">
        <f t="shared" ref="H16:H17" si="3">G16*1.2158</f>
        <v>98.528432000000009</v>
      </c>
      <c r="I16" s="32">
        <f t="shared" si="0"/>
        <v>3.5142517554104762E-4</v>
      </c>
      <c r="J16" s="30">
        <f t="shared" ref="J16:J29" si="4">H16*F16</f>
        <v>999.57094264000023</v>
      </c>
    </row>
    <row r="17" spans="1:10" ht="30" x14ac:dyDescent="0.25">
      <c r="A17" s="3" t="s">
        <v>20</v>
      </c>
      <c r="B17" s="3">
        <v>96527</v>
      </c>
      <c r="C17" s="3" t="s">
        <v>69</v>
      </c>
      <c r="D17" s="28" t="s">
        <v>132</v>
      </c>
      <c r="E17" s="27" t="s">
        <v>23</v>
      </c>
      <c r="F17" s="29">
        <f>MEMCALFUND!C38</f>
        <v>3.7442564999999992</v>
      </c>
      <c r="G17" s="30">
        <v>106.42</v>
      </c>
      <c r="H17" s="30">
        <f t="shared" si="3"/>
        <v>129.385436</v>
      </c>
      <c r="I17" s="32">
        <f t="shared" si="0"/>
        <v>1.7032179824442059E-4</v>
      </c>
      <c r="J17" s="30">
        <f t="shared" si="4"/>
        <v>484.45225974833392</v>
      </c>
    </row>
    <row r="18" spans="1:10" x14ac:dyDescent="0.25">
      <c r="A18" s="3" t="s">
        <v>20</v>
      </c>
      <c r="B18" s="3">
        <v>96995</v>
      </c>
      <c r="C18" s="3" t="s">
        <v>244</v>
      </c>
      <c r="D18" s="28" t="s">
        <v>71</v>
      </c>
      <c r="E18" s="27" t="s">
        <v>23</v>
      </c>
      <c r="F18" s="29">
        <f>MEMCALFUND!H39</f>
        <v>9.0700523999999998</v>
      </c>
      <c r="G18" s="30">
        <v>42.74</v>
      </c>
      <c r="H18" s="30">
        <f>G18*1.2158</f>
        <v>51.963292000000003</v>
      </c>
      <c r="I18" s="32">
        <f t="shared" si="0"/>
        <v>1.6570121796049091E-4</v>
      </c>
      <c r="J18" s="30">
        <f t="shared" si="4"/>
        <v>471.30978131650079</v>
      </c>
    </row>
    <row r="19" spans="1:10" x14ac:dyDescent="0.25">
      <c r="A19" s="14"/>
      <c r="B19" s="14"/>
      <c r="C19" s="14" t="s">
        <v>37</v>
      </c>
      <c r="D19" s="14" t="s">
        <v>103</v>
      </c>
      <c r="E19" s="14"/>
      <c r="F19" s="14"/>
      <c r="G19" s="14"/>
      <c r="H19" s="14"/>
      <c r="I19" s="23">
        <f t="shared" si="0"/>
        <v>5.4978773393664516E-3</v>
      </c>
      <c r="J19" s="11">
        <f>SUM(J20:J29)</f>
        <v>15637.80519187</v>
      </c>
    </row>
    <row r="20" spans="1:10" ht="30" x14ac:dyDescent="0.25">
      <c r="A20" s="3" t="s">
        <v>20</v>
      </c>
      <c r="B20" s="3">
        <v>96617</v>
      </c>
      <c r="C20" s="3" t="s">
        <v>39</v>
      </c>
      <c r="D20" s="28" t="s">
        <v>133</v>
      </c>
      <c r="E20" s="27" t="s">
        <v>22</v>
      </c>
      <c r="F20" s="29">
        <f>MEMCALFUND!H14</f>
        <v>6.9049999999999994</v>
      </c>
      <c r="G20" s="30">
        <v>18.93</v>
      </c>
      <c r="H20" s="30">
        <f>G20*1.2158</f>
        <v>23.015094000000001</v>
      </c>
      <c r="I20" s="32">
        <f t="shared" si="0"/>
        <v>5.5872188589380389E-5</v>
      </c>
      <c r="J20" s="30">
        <f t="shared" si="4"/>
        <v>158.91922406999998</v>
      </c>
    </row>
    <row r="21" spans="1:10" ht="30" x14ac:dyDescent="0.25">
      <c r="A21" s="3" t="s">
        <v>20</v>
      </c>
      <c r="B21" s="3">
        <v>94965</v>
      </c>
      <c r="C21" s="313" t="s">
        <v>40</v>
      </c>
      <c r="D21" s="28" t="s">
        <v>73</v>
      </c>
      <c r="E21" s="27" t="s">
        <v>23</v>
      </c>
      <c r="F21" s="47">
        <f>2.4+1.7</f>
        <v>4.0999999999999996</v>
      </c>
      <c r="G21" s="30">
        <v>531.28</v>
      </c>
      <c r="H21" s="30">
        <f t="shared" ref="H21:H29" si="5">G21*1.2158</f>
        <v>645.93022399999995</v>
      </c>
      <c r="I21" s="32">
        <f t="shared" si="0"/>
        <v>9.3108367196375122E-4</v>
      </c>
      <c r="J21" s="30">
        <f t="shared" si="4"/>
        <v>2648.3139183999997</v>
      </c>
    </row>
    <row r="22" spans="1:10" ht="30" x14ac:dyDescent="0.25">
      <c r="A22" s="3" t="s">
        <v>20</v>
      </c>
      <c r="B22" s="3">
        <v>103670</v>
      </c>
      <c r="C22" s="313" t="s">
        <v>41</v>
      </c>
      <c r="D22" s="28" t="s">
        <v>74</v>
      </c>
      <c r="E22" s="27" t="s">
        <v>23</v>
      </c>
      <c r="F22" s="47">
        <v>4.0999999999999996</v>
      </c>
      <c r="G22" s="30">
        <v>243.37</v>
      </c>
      <c r="H22" s="30">
        <f t="shared" si="5"/>
        <v>295.88924600000001</v>
      </c>
      <c r="I22" s="32">
        <f t="shared" si="0"/>
        <v>4.2651301243377905E-4</v>
      </c>
      <c r="J22" s="30">
        <f t="shared" si="4"/>
        <v>1213.1459086</v>
      </c>
    </row>
    <row r="23" spans="1:10" ht="30" x14ac:dyDescent="0.25">
      <c r="A23" s="3" t="s">
        <v>20</v>
      </c>
      <c r="B23" s="3">
        <v>96535</v>
      </c>
      <c r="C23" s="313" t="s">
        <v>42</v>
      </c>
      <c r="D23" s="28" t="s">
        <v>180</v>
      </c>
      <c r="E23" s="27" t="s">
        <v>22</v>
      </c>
      <c r="F23" s="29">
        <v>7.9</v>
      </c>
      <c r="G23" s="30">
        <v>135.03</v>
      </c>
      <c r="H23" s="30">
        <f t="shared" si="5"/>
        <v>164.16947400000001</v>
      </c>
      <c r="I23" s="32">
        <f t="shared" si="0"/>
        <v>4.5597259952934475E-4</v>
      </c>
      <c r="J23" s="30">
        <f t="shared" si="4"/>
        <v>1296.9388446</v>
      </c>
    </row>
    <row r="24" spans="1:10" ht="30" x14ac:dyDescent="0.25">
      <c r="A24" s="3" t="s">
        <v>20</v>
      </c>
      <c r="B24" s="3">
        <v>96536</v>
      </c>
      <c r="C24" s="313" t="s">
        <v>79</v>
      </c>
      <c r="D24" s="28" t="s">
        <v>181</v>
      </c>
      <c r="E24" s="27" t="s">
        <v>22</v>
      </c>
      <c r="F24" s="29">
        <v>30.9</v>
      </c>
      <c r="G24" s="30">
        <v>70.650000000000006</v>
      </c>
      <c r="H24" s="30">
        <f t="shared" si="5"/>
        <v>85.896270000000001</v>
      </c>
      <c r="I24" s="32">
        <f t="shared" si="0"/>
        <v>9.331512288816452E-4</v>
      </c>
      <c r="J24" s="30">
        <f t="shared" si="4"/>
        <v>2654.194743</v>
      </c>
    </row>
    <row r="25" spans="1:10" ht="30" x14ac:dyDescent="0.25">
      <c r="A25" s="3" t="s">
        <v>20</v>
      </c>
      <c r="B25" s="3">
        <v>96545</v>
      </c>
      <c r="C25" s="313" t="s">
        <v>245</v>
      </c>
      <c r="D25" s="33" t="s">
        <v>75</v>
      </c>
      <c r="E25" s="27" t="s">
        <v>28</v>
      </c>
      <c r="F25" s="29">
        <f>63.9+10.4</f>
        <v>74.3</v>
      </c>
      <c r="G25" s="30">
        <v>18.73</v>
      </c>
      <c r="H25" s="30">
        <f t="shared" si="5"/>
        <v>22.771934000000002</v>
      </c>
      <c r="I25" s="32">
        <f t="shared" si="0"/>
        <v>5.9485070119103195E-4</v>
      </c>
      <c r="J25" s="30">
        <f t="shared" si="4"/>
        <v>1691.9546962000002</v>
      </c>
    </row>
    <row r="26" spans="1:10" ht="30" x14ac:dyDescent="0.25">
      <c r="A26" s="3" t="s">
        <v>20</v>
      </c>
      <c r="B26" s="3">
        <v>96546</v>
      </c>
      <c r="C26" s="313" t="s">
        <v>112</v>
      </c>
      <c r="D26" s="33" t="s">
        <v>76</v>
      </c>
      <c r="E26" s="27" t="s">
        <v>28</v>
      </c>
      <c r="F26" s="29">
        <f>32.2+46.9</f>
        <v>79.099999999999994</v>
      </c>
      <c r="G26" s="30">
        <v>16.920000000000002</v>
      </c>
      <c r="H26" s="30">
        <f t="shared" si="5"/>
        <v>20.571336000000002</v>
      </c>
      <c r="I26" s="32">
        <f t="shared" si="0"/>
        <v>5.7208192832655864E-4</v>
      </c>
      <c r="J26" s="30">
        <f t="shared" si="4"/>
        <v>1627.1926776</v>
      </c>
    </row>
    <row r="27" spans="1:10" ht="30" x14ac:dyDescent="0.25">
      <c r="A27" s="3" t="s">
        <v>20</v>
      </c>
      <c r="B27" s="3">
        <v>96547</v>
      </c>
      <c r="C27" s="313" t="s">
        <v>113</v>
      </c>
      <c r="D27" s="33" t="s">
        <v>97</v>
      </c>
      <c r="E27" s="27" t="s">
        <v>28</v>
      </c>
      <c r="F27" s="29">
        <f>81.4</f>
        <v>81.400000000000006</v>
      </c>
      <c r="G27" s="30">
        <v>14.39</v>
      </c>
      <c r="H27" s="30">
        <f t="shared" si="5"/>
        <v>17.495362</v>
      </c>
      <c r="I27" s="32">
        <f t="shared" si="0"/>
        <v>5.0068731146318162E-4</v>
      </c>
      <c r="J27" s="30">
        <f t="shared" si="4"/>
        <v>1424.1224668000002</v>
      </c>
    </row>
    <row r="28" spans="1:10" ht="30" x14ac:dyDescent="0.25">
      <c r="A28" s="3" t="s">
        <v>20</v>
      </c>
      <c r="B28" s="3">
        <v>96548</v>
      </c>
      <c r="C28" s="313" t="s">
        <v>193</v>
      </c>
      <c r="D28" s="33" t="s">
        <v>448</v>
      </c>
      <c r="E28" s="27" t="s">
        <v>28</v>
      </c>
      <c r="F28" s="29">
        <v>93.9</v>
      </c>
      <c r="G28" s="30">
        <v>13.79</v>
      </c>
      <c r="H28" s="30">
        <f t="shared" si="5"/>
        <v>16.765881999999998</v>
      </c>
      <c r="I28" s="32">
        <f t="shared" si="0"/>
        <v>5.5349186880286096E-4</v>
      </c>
      <c r="J28" s="30">
        <f t="shared" si="4"/>
        <v>1574.3163198</v>
      </c>
    </row>
    <row r="29" spans="1:10" ht="30" x14ac:dyDescent="0.25">
      <c r="A29" s="3" t="s">
        <v>20</v>
      </c>
      <c r="B29" s="3">
        <v>104111</v>
      </c>
      <c r="C29" s="313" t="s">
        <v>287</v>
      </c>
      <c r="D29" s="33" t="s">
        <v>183</v>
      </c>
      <c r="E29" s="27" t="s">
        <v>28</v>
      </c>
      <c r="F29" s="29">
        <v>54.7</v>
      </c>
      <c r="G29" s="30">
        <v>20.28</v>
      </c>
      <c r="H29" s="30">
        <f t="shared" si="5"/>
        <v>24.656424000000001</v>
      </c>
      <c r="I29" s="32">
        <f t="shared" si="0"/>
        <v>4.7417282818491781E-4</v>
      </c>
      <c r="J29" s="30">
        <f t="shared" si="4"/>
        <v>1348.7063928000002</v>
      </c>
    </row>
    <row r="30" spans="1:10" x14ac:dyDescent="0.25">
      <c r="A30" s="14"/>
      <c r="B30" s="14"/>
      <c r="C30" s="14" t="s">
        <v>43</v>
      </c>
      <c r="D30" s="14" t="s">
        <v>101</v>
      </c>
      <c r="E30" s="14"/>
      <c r="F30" s="14"/>
      <c r="G30" s="14"/>
      <c r="H30" s="14"/>
      <c r="I30" s="23">
        <f>(J30/J$225)</f>
        <v>2.907680481408062E-3</v>
      </c>
      <c r="J30" s="11">
        <f>SUM(J31:J35)</f>
        <v>8270.4174942000009</v>
      </c>
    </row>
    <row r="31" spans="1:10" ht="30" x14ac:dyDescent="0.25">
      <c r="A31" s="3" t="s">
        <v>20</v>
      </c>
      <c r="B31" s="3">
        <v>103669</v>
      </c>
      <c r="C31" s="3" t="s">
        <v>137</v>
      </c>
      <c r="D31" s="28" t="s">
        <v>77</v>
      </c>
      <c r="E31" s="27" t="s">
        <v>23</v>
      </c>
      <c r="F31" s="29">
        <f>0.3+0.9</f>
        <v>1.2</v>
      </c>
      <c r="G31" s="30">
        <v>992.95</v>
      </c>
      <c r="H31" s="30">
        <f>G31*1.2158</f>
        <v>1207.2286100000001</v>
      </c>
      <c r="I31" s="32">
        <f>J31/J$225</f>
        <v>5.0931915855847835E-4</v>
      </c>
      <c r="J31" s="30">
        <f t="shared" ref="J31:J35" si="6">H31*F31</f>
        <v>1448.674332</v>
      </c>
    </row>
    <row r="32" spans="1:10" ht="45" x14ac:dyDescent="0.25">
      <c r="A32" s="3" t="s">
        <v>20</v>
      </c>
      <c r="B32" s="3">
        <v>92419</v>
      </c>
      <c r="C32" s="313" t="s">
        <v>138</v>
      </c>
      <c r="D32" s="28" t="s">
        <v>78</v>
      </c>
      <c r="E32" s="27" t="s">
        <v>22</v>
      </c>
      <c r="F32" s="29">
        <f>6.4+19.2</f>
        <v>25.6</v>
      </c>
      <c r="G32" s="30">
        <v>88.78</v>
      </c>
      <c r="H32" s="30">
        <f t="shared" ref="H32:H35" si="7">G32*1.2158</f>
        <v>107.93872400000001</v>
      </c>
      <c r="I32" s="32">
        <f>J32/J$225</f>
        <v>9.7148587991895846E-4</v>
      </c>
      <c r="J32" s="30">
        <f t="shared" si="6"/>
        <v>2763.2313344000004</v>
      </c>
    </row>
    <row r="33" spans="1:10" ht="30" customHeight="1" x14ac:dyDescent="0.25">
      <c r="A33" s="3" t="s">
        <v>20</v>
      </c>
      <c r="B33" s="3">
        <v>104108</v>
      </c>
      <c r="C33" s="313" t="s">
        <v>139</v>
      </c>
      <c r="D33" s="28" t="s">
        <v>194</v>
      </c>
      <c r="E33" s="27" t="s">
        <v>28</v>
      </c>
      <c r="F33" s="29">
        <f>32.2+40.6</f>
        <v>72.800000000000011</v>
      </c>
      <c r="G33" s="30">
        <v>16.829999999999998</v>
      </c>
      <c r="H33" s="30">
        <f t="shared" si="7"/>
        <v>20.461913999999997</v>
      </c>
      <c r="I33" s="32">
        <f>J33/J$225</f>
        <v>5.2371725391145321E-4</v>
      </c>
      <c r="J33" s="30">
        <f t="shared" si="6"/>
        <v>1489.6273392000001</v>
      </c>
    </row>
    <row r="34" spans="1:10" ht="30" customHeight="1" x14ac:dyDescent="0.25">
      <c r="A34" s="3" t="s">
        <v>20</v>
      </c>
      <c r="B34" s="3">
        <v>104107</v>
      </c>
      <c r="C34" s="313" t="s">
        <v>246</v>
      </c>
      <c r="D34" s="28" t="s">
        <v>289</v>
      </c>
      <c r="E34" s="27" t="s">
        <v>28</v>
      </c>
      <c r="F34" s="29">
        <f>50.4+53.4</f>
        <v>103.8</v>
      </c>
      <c r="G34" s="30">
        <v>14.37</v>
      </c>
      <c r="H34" s="30">
        <f t="shared" si="7"/>
        <v>17.471045999999998</v>
      </c>
      <c r="I34" s="32">
        <f>J34/J$225</f>
        <v>6.3758120820180391E-4</v>
      </c>
      <c r="J34" s="30">
        <f t="shared" si="6"/>
        <v>1813.4945747999998</v>
      </c>
    </row>
    <row r="35" spans="1:10" ht="30" customHeight="1" x14ac:dyDescent="0.25">
      <c r="A35" s="3" t="s">
        <v>20</v>
      </c>
      <c r="B35" s="3">
        <v>104111</v>
      </c>
      <c r="C35" s="313" t="s">
        <v>288</v>
      </c>
      <c r="D35" s="28" t="s">
        <v>183</v>
      </c>
      <c r="E35" s="27" t="s">
        <v>28</v>
      </c>
      <c r="F35" s="29">
        <f>20.4+7.3</f>
        <v>27.7</v>
      </c>
      <c r="G35" s="30">
        <v>22.43</v>
      </c>
      <c r="H35" s="30">
        <f t="shared" si="7"/>
        <v>27.270394</v>
      </c>
      <c r="I35" s="32">
        <f>J35/J$225</f>
        <v>2.6557698081736803E-4</v>
      </c>
      <c r="J35" s="30">
        <f t="shared" si="6"/>
        <v>755.38991379999993</v>
      </c>
    </row>
    <row r="36" spans="1:10" x14ac:dyDescent="0.25">
      <c r="A36" s="25"/>
      <c r="B36" s="25"/>
      <c r="C36" s="25" t="s">
        <v>44</v>
      </c>
      <c r="D36" s="25" t="s">
        <v>102</v>
      </c>
      <c r="E36" s="25"/>
      <c r="F36" s="25"/>
      <c r="G36" s="25"/>
      <c r="H36" s="25"/>
      <c r="I36" s="23">
        <f>(J36/J$225)</f>
        <v>3.4959151714402843E-3</v>
      </c>
      <c r="J36" s="11">
        <f>SUM(J37:J40)</f>
        <v>9943.5540380000002</v>
      </c>
    </row>
    <row r="37" spans="1:10" ht="30" customHeight="1" x14ac:dyDescent="0.25">
      <c r="A37" s="3" t="s">
        <v>20</v>
      </c>
      <c r="B37" s="3">
        <v>103682</v>
      </c>
      <c r="C37" s="3" t="s">
        <v>80</v>
      </c>
      <c r="D37" s="33" t="s">
        <v>185</v>
      </c>
      <c r="E37" s="27" t="s">
        <v>23</v>
      </c>
      <c r="F37" s="29">
        <v>1.5</v>
      </c>
      <c r="G37" s="30">
        <v>1007.3</v>
      </c>
      <c r="H37" s="30">
        <f>G37*1.2158</f>
        <v>1224.67534</v>
      </c>
      <c r="I37" s="32">
        <f>J37/J$225</f>
        <v>6.4584972608887055E-4</v>
      </c>
      <c r="J37" s="30">
        <f t="shared" ref="J37" si="8">H37*F37</f>
        <v>1837.0130100000001</v>
      </c>
    </row>
    <row r="38" spans="1:10" ht="30" x14ac:dyDescent="0.25">
      <c r="A38" s="3" t="s">
        <v>20</v>
      </c>
      <c r="B38" s="3">
        <v>92448</v>
      </c>
      <c r="C38" s="313" t="s">
        <v>105</v>
      </c>
      <c r="D38" s="33" t="s">
        <v>184</v>
      </c>
      <c r="E38" s="27" t="s">
        <v>22</v>
      </c>
      <c r="F38" s="29">
        <v>28.4</v>
      </c>
      <c r="G38" s="30">
        <v>148.96</v>
      </c>
      <c r="H38" s="30">
        <f t="shared" ref="H38:H40" si="9">G38*1.2158</f>
        <v>181.10556800000001</v>
      </c>
      <c r="I38" s="32">
        <f>J38/J$225</f>
        <v>1.8082954536078808E-3</v>
      </c>
      <c r="J38" s="30">
        <f t="shared" ref="J38" si="10">H38*F38</f>
        <v>5143.3981311999996</v>
      </c>
    </row>
    <row r="39" spans="1:10" ht="30" x14ac:dyDescent="0.25">
      <c r="A39" s="3" t="s">
        <v>20</v>
      </c>
      <c r="B39" s="3">
        <v>104109</v>
      </c>
      <c r="C39" s="313" t="s">
        <v>106</v>
      </c>
      <c r="D39" s="33" t="s">
        <v>182</v>
      </c>
      <c r="E39" s="27" t="s">
        <v>28</v>
      </c>
      <c r="F39" s="29">
        <v>93</v>
      </c>
      <c r="G39" s="30">
        <v>17.32</v>
      </c>
      <c r="H39" s="30">
        <f t="shared" si="9"/>
        <v>21.057656000000001</v>
      </c>
      <c r="I39" s="32">
        <f>J39/J$225</f>
        <v>6.8851312405765182E-4</v>
      </c>
      <c r="J39" s="30">
        <f t="shared" ref="J39" si="11">H39*F39</f>
        <v>1958.3620080000001</v>
      </c>
    </row>
    <row r="40" spans="1:10" ht="30" customHeight="1" x14ac:dyDescent="0.25">
      <c r="A40" s="3" t="s">
        <v>20</v>
      </c>
      <c r="B40" s="3">
        <v>104111</v>
      </c>
      <c r="C40" s="313" t="s">
        <v>107</v>
      </c>
      <c r="D40" s="33" t="s">
        <v>183</v>
      </c>
      <c r="E40" s="27" t="s">
        <v>28</v>
      </c>
      <c r="F40" s="29">
        <v>59.8</v>
      </c>
      <c r="G40" s="30">
        <v>13.82</v>
      </c>
      <c r="H40" s="30">
        <f t="shared" si="9"/>
        <v>16.802356</v>
      </c>
      <c r="I40" s="32">
        <f>J40/J$225</f>
        <v>3.5325686768588092E-4</v>
      </c>
      <c r="J40" s="30">
        <f t="shared" ref="J40" si="12">H40*F40</f>
        <v>1004.7808888</v>
      </c>
    </row>
    <row r="41" spans="1:10" x14ac:dyDescent="0.25">
      <c r="A41" s="14"/>
      <c r="B41" s="14"/>
      <c r="C41" s="14" t="s">
        <v>45</v>
      </c>
      <c r="D41" s="14" t="s">
        <v>104</v>
      </c>
      <c r="E41" s="14"/>
      <c r="F41" s="14"/>
      <c r="G41" s="14"/>
      <c r="H41" s="14"/>
      <c r="I41" s="23">
        <f>(J41/J$225)</f>
        <v>7.5403333169529133E-4</v>
      </c>
      <c r="J41" s="11">
        <f>SUM(J42)</f>
        <v>2144.7234307680001</v>
      </c>
    </row>
    <row r="42" spans="1:10" ht="15" customHeight="1" x14ac:dyDescent="0.25">
      <c r="A42" s="3" t="s">
        <v>20</v>
      </c>
      <c r="B42" s="3">
        <v>98557</v>
      </c>
      <c r="C42" s="3" t="s">
        <v>46</v>
      </c>
      <c r="D42" s="28" t="s">
        <v>186</v>
      </c>
      <c r="E42" s="27" t="s">
        <v>22</v>
      </c>
      <c r="F42" s="29">
        <f>MEMCALFUND!F51</f>
        <v>28.796000000000003</v>
      </c>
      <c r="G42" s="30">
        <v>61.26</v>
      </c>
      <c r="H42" s="30">
        <f>G42*1.2158</f>
        <v>74.479907999999995</v>
      </c>
      <c r="I42" s="32">
        <f>J42/J$225</f>
        <v>7.5403333169529133E-4</v>
      </c>
      <c r="J42" s="30">
        <f t="shared" ref="J42" si="13">H42*F42</f>
        <v>2144.7234307680001</v>
      </c>
    </row>
    <row r="43" spans="1:10" x14ac:dyDescent="0.25">
      <c r="A43" s="49"/>
      <c r="B43" s="49"/>
      <c r="C43" s="49" t="s">
        <v>47</v>
      </c>
      <c r="D43" s="49" t="s">
        <v>199</v>
      </c>
      <c r="E43" s="49"/>
      <c r="F43" s="49"/>
      <c r="G43" s="11"/>
      <c r="H43" s="49"/>
      <c r="I43" s="23">
        <f>(J43/J$225)</f>
        <v>1.2105050557930579E-2</v>
      </c>
      <c r="J43" s="11">
        <f>SUM(J44:J46)</f>
        <v>34430.819528700005</v>
      </c>
    </row>
    <row r="44" spans="1:10" ht="30" customHeight="1" x14ac:dyDescent="0.25">
      <c r="A44" s="3" t="s">
        <v>20</v>
      </c>
      <c r="B44" s="3">
        <v>103328</v>
      </c>
      <c r="C44" s="3" t="s">
        <v>146</v>
      </c>
      <c r="D44" s="28" t="s">
        <v>200</v>
      </c>
      <c r="E44" s="27" t="s">
        <v>22</v>
      </c>
      <c r="F44" s="29">
        <f>MEMCALALV!E13</f>
        <v>136.71</v>
      </c>
      <c r="G44" s="30">
        <v>89.31</v>
      </c>
      <c r="H44" s="30">
        <f>G44*1.2158</f>
        <v>108.58309800000001</v>
      </c>
      <c r="I44" s="32">
        <f t="shared" ref="I44:I76" si="14">J44/J$225</f>
        <v>5.2189334556059855E-3</v>
      </c>
      <c r="J44" s="30">
        <f t="shared" ref="J44:J46" si="15">H44*F44</f>
        <v>14844.395327580001</v>
      </c>
    </row>
    <row r="45" spans="1:10" ht="45" x14ac:dyDescent="0.25">
      <c r="A45" s="3" t="s">
        <v>20</v>
      </c>
      <c r="B45" s="3">
        <v>87894</v>
      </c>
      <c r="C45" s="313" t="s">
        <v>599</v>
      </c>
      <c r="D45" s="28" t="s">
        <v>201</v>
      </c>
      <c r="E45" s="27" t="s">
        <v>22</v>
      </c>
      <c r="F45" s="29">
        <f>MEMCALALV!E20</f>
        <v>273.42</v>
      </c>
      <c r="G45" s="30">
        <v>6.23</v>
      </c>
      <c r="H45" s="30">
        <f t="shared" ref="H45:H46" si="16">G45*1.2158</f>
        <v>7.5744340000000001</v>
      </c>
      <c r="I45" s="32">
        <f t="shared" si="14"/>
        <v>7.2811455443791949E-4</v>
      </c>
      <c r="J45" s="30">
        <f t="shared" si="15"/>
        <v>2071.0017442800004</v>
      </c>
    </row>
    <row r="46" spans="1:10" ht="45" x14ac:dyDescent="0.25">
      <c r="A46" s="3" t="s">
        <v>20</v>
      </c>
      <c r="B46" s="3">
        <v>87775</v>
      </c>
      <c r="C46" s="313" t="s">
        <v>600</v>
      </c>
      <c r="D46" s="28" t="s">
        <v>202</v>
      </c>
      <c r="E46" s="27" t="s">
        <v>22</v>
      </c>
      <c r="F46" s="29">
        <f>MEMCALALV!E27</f>
        <v>273.42</v>
      </c>
      <c r="G46" s="30">
        <v>52.69</v>
      </c>
      <c r="H46" s="30">
        <f t="shared" si="16"/>
        <v>64.060502</v>
      </c>
      <c r="I46" s="32">
        <f t="shared" si="14"/>
        <v>6.1580025478866736E-3</v>
      </c>
      <c r="J46" s="30">
        <f t="shared" si="15"/>
        <v>17515.422456840002</v>
      </c>
    </row>
    <row r="47" spans="1:10" x14ac:dyDescent="0.25">
      <c r="A47" s="49"/>
      <c r="B47" s="49"/>
      <c r="C47" s="49" t="s">
        <v>48</v>
      </c>
      <c r="D47" s="49" t="s">
        <v>203</v>
      </c>
      <c r="E47" s="49"/>
      <c r="F47" s="49"/>
      <c r="G47" s="11"/>
      <c r="H47" s="49"/>
      <c r="I47" s="23">
        <f t="shared" si="14"/>
        <v>5.8057216123753259E-2</v>
      </c>
      <c r="J47" s="11">
        <f>SUM(J48:J53)</f>
        <v>165134.17446125997</v>
      </c>
    </row>
    <row r="48" spans="1:10" x14ac:dyDescent="0.25">
      <c r="A48" s="3" t="s">
        <v>20</v>
      </c>
      <c r="B48" s="3">
        <v>88485</v>
      </c>
      <c r="C48" s="3" t="s">
        <v>147</v>
      </c>
      <c r="D48" s="28" t="s">
        <v>96</v>
      </c>
      <c r="E48" s="27" t="s">
        <v>22</v>
      </c>
      <c r="F48" s="29">
        <f>MEMCALPINT!G60</f>
        <v>200.79</v>
      </c>
      <c r="G48" s="30">
        <v>1.99</v>
      </c>
      <c r="H48" s="30">
        <f>G48*1.2158</f>
        <v>2.4194420000000001</v>
      </c>
      <c r="I48" s="32">
        <f t="shared" si="14"/>
        <v>1.7079554673401159E-4</v>
      </c>
      <c r="J48" s="30">
        <f t="shared" ref="J48:J53" si="17">H48*F48</f>
        <v>485.79975918000002</v>
      </c>
    </row>
    <row r="49" spans="1:10" ht="30" x14ac:dyDescent="0.25">
      <c r="A49" s="3" t="s">
        <v>20</v>
      </c>
      <c r="B49" s="3">
        <v>96135</v>
      </c>
      <c r="C49" s="313" t="s">
        <v>148</v>
      </c>
      <c r="D49" s="28" t="s">
        <v>204</v>
      </c>
      <c r="E49" s="27" t="s">
        <v>22</v>
      </c>
      <c r="F49" s="29">
        <f>MEMCALPINT!G61</f>
        <v>118.62</v>
      </c>
      <c r="G49" s="30">
        <v>28.64</v>
      </c>
      <c r="H49" s="30">
        <f t="shared" ref="H49:H53" si="18">G49*1.2158</f>
        <v>34.820512000000001</v>
      </c>
      <c r="I49" s="32">
        <f t="shared" si="14"/>
        <v>1.4521528116271712E-3</v>
      </c>
      <c r="J49" s="30">
        <f t="shared" si="17"/>
        <v>4130.40913344</v>
      </c>
    </row>
    <row r="50" spans="1:10" x14ac:dyDescent="0.25">
      <c r="A50" s="3" t="s">
        <v>20</v>
      </c>
      <c r="B50" s="3">
        <v>88497</v>
      </c>
      <c r="C50" s="313" t="s">
        <v>149</v>
      </c>
      <c r="D50" s="28" t="s">
        <v>205</v>
      </c>
      <c r="E50" s="27" t="s">
        <v>22</v>
      </c>
      <c r="F50" s="29">
        <f>MEMCALPINT!G62</f>
        <v>149.69999999999999</v>
      </c>
      <c r="G50" s="30">
        <v>16.489999999999998</v>
      </c>
      <c r="H50" s="30">
        <f t="shared" si="18"/>
        <v>20.048541999999998</v>
      </c>
      <c r="I50" s="32">
        <f t="shared" si="14"/>
        <v>1.0551734199582112E-3</v>
      </c>
      <c r="J50" s="30">
        <f t="shared" si="17"/>
        <v>3001.2667373999993</v>
      </c>
    </row>
    <row r="51" spans="1:10" x14ac:dyDescent="0.25">
      <c r="A51" s="3" t="s">
        <v>20</v>
      </c>
      <c r="B51" s="3">
        <v>102194</v>
      </c>
      <c r="C51" s="313" t="s">
        <v>372</v>
      </c>
      <c r="D51" s="28" t="s">
        <v>431</v>
      </c>
      <c r="E51" s="27" t="s">
        <v>22</v>
      </c>
      <c r="F51" s="29">
        <f>MEMCALPINT!G65</f>
        <v>3941.2999999999988</v>
      </c>
      <c r="G51" s="30">
        <v>6.87</v>
      </c>
      <c r="H51" s="30">
        <f t="shared" si="18"/>
        <v>8.3525460000000002</v>
      </c>
      <c r="I51" s="32">
        <f t="shared" si="14"/>
        <v>1.1573843806699112E-2</v>
      </c>
      <c r="J51" s="30">
        <f t="shared" ref="J51:J52" si="19">H51*F51</f>
        <v>32919.889549799991</v>
      </c>
    </row>
    <row r="52" spans="1:10" ht="30" x14ac:dyDescent="0.25">
      <c r="A52" s="3" t="s">
        <v>20</v>
      </c>
      <c r="B52" s="3">
        <v>102491</v>
      </c>
      <c r="C52" s="313" t="s">
        <v>601</v>
      </c>
      <c r="D52" s="28" t="s">
        <v>432</v>
      </c>
      <c r="E52" s="27" t="s">
        <v>22</v>
      </c>
      <c r="F52" s="29">
        <f>MEMCALPINT!G64</f>
        <v>1680.48</v>
      </c>
      <c r="G52" s="30">
        <v>16.96</v>
      </c>
      <c r="H52" s="30">
        <f t="shared" si="18"/>
        <v>20.619968</v>
      </c>
      <c r="I52" s="32">
        <f t="shared" si="14"/>
        <v>1.2182616770214179E-2</v>
      </c>
      <c r="J52" s="30">
        <f t="shared" si="19"/>
        <v>34651.443824640002</v>
      </c>
    </row>
    <row r="53" spans="1:10" ht="30" x14ac:dyDescent="0.25">
      <c r="A53" s="3" t="s">
        <v>20</v>
      </c>
      <c r="B53" s="3">
        <v>88489</v>
      </c>
      <c r="C53" s="313" t="s">
        <v>602</v>
      </c>
      <c r="D53" s="28" t="s">
        <v>206</v>
      </c>
      <c r="E53" s="27" t="s">
        <v>22</v>
      </c>
      <c r="F53" s="29">
        <f>MEMCALPINT!G63</f>
        <v>5180.7</v>
      </c>
      <c r="G53" s="30">
        <v>14.28</v>
      </c>
      <c r="H53" s="30">
        <f t="shared" si="18"/>
        <v>17.361623999999999</v>
      </c>
      <c r="I53" s="32">
        <f t="shared" si="14"/>
        <v>3.1622633768520578E-2</v>
      </c>
      <c r="J53" s="30">
        <f t="shared" si="17"/>
        <v>89945.365456799991</v>
      </c>
    </row>
    <row r="54" spans="1:10" x14ac:dyDescent="0.25">
      <c r="A54" s="49"/>
      <c r="B54" s="49"/>
      <c r="C54" s="49" t="s">
        <v>49</v>
      </c>
      <c r="D54" s="49" t="s">
        <v>207</v>
      </c>
      <c r="E54" s="49"/>
      <c r="F54" s="49"/>
      <c r="G54" s="11"/>
      <c r="H54" s="49"/>
      <c r="I54" s="96">
        <f t="shared" si="14"/>
        <v>0.50903443563727202</v>
      </c>
      <c r="J54" s="11">
        <f>SUM(J55:J69)</f>
        <v>1447864.4846169739</v>
      </c>
    </row>
    <row r="55" spans="1:10" ht="30" x14ac:dyDescent="0.25">
      <c r="A55" s="3" t="s">
        <v>20</v>
      </c>
      <c r="B55" s="3">
        <v>94216</v>
      </c>
      <c r="C55" s="3" t="s">
        <v>50</v>
      </c>
      <c r="D55" s="28" t="s">
        <v>208</v>
      </c>
      <c r="E55" s="27" t="s">
        <v>22</v>
      </c>
      <c r="F55" s="29">
        <f>MEMCALCOBERT!F26</f>
        <v>2648.8300000000004</v>
      </c>
      <c r="G55" s="30">
        <v>215.13</v>
      </c>
      <c r="H55" s="30">
        <f>G55*1.2158</f>
        <v>261.55505399999998</v>
      </c>
      <c r="I55" s="32">
        <f t="shared" si="14"/>
        <v>0.24357709714909864</v>
      </c>
      <c r="J55" s="30">
        <f t="shared" ref="J55:J72" si="20">H55*F55</f>
        <v>692814.87368682004</v>
      </c>
    </row>
    <row r="56" spans="1:10" ht="45" x14ac:dyDescent="0.25">
      <c r="A56" s="3" t="s">
        <v>20</v>
      </c>
      <c r="B56" s="3">
        <v>92580</v>
      </c>
      <c r="C56" s="313" t="s">
        <v>111</v>
      </c>
      <c r="D56" s="28" t="s">
        <v>384</v>
      </c>
      <c r="E56" s="27" t="s">
        <v>22</v>
      </c>
      <c r="F56" s="29">
        <f>F55</f>
        <v>2648.8300000000004</v>
      </c>
      <c r="G56" s="30">
        <v>55.3</v>
      </c>
      <c r="H56" s="30">
        <f t="shared" ref="H56:H69" si="21">G56*1.2158</f>
        <v>67.233739999999997</v>
      </c>
      <c r="I56" s="32">
        <f t="shared" si="14"/>
        <v>6.2612436537652374E-2</v>
      </c>
      <c r="J56" s="30">
        <f t="shared" si="20"/>
        <v>178090.74752420001</v>
      </c>
    </row>
    <row r="57" spans="1:10" ht="45" customHeight="1" x14ac:dyDescent="0.25">
      <c r="A57" s="3" t="s">
        <v>20</v>
      </c>
      <c r="B57" s="3">
        <v>92602</v>
      </c>
      <c r="C57" s="313" t="s">
        <v>145</v>
      </c>
      <c r="D57" s="28" t="s">
        <v>609</v>
      </c>
      <c r="E57" s="27" t="s">
        <v>31</v>
      </c>
      <c r="F57" s="29">
        <v>4</v>
      </c>
      <c r="G57" s="30">
        <v>769.25</v>
      </c>
      <c r="H57" s="30">
        <f t="shared" si="21"/>
        <v>935.25414999999998</v>
      </c>
      <c r="I57" s="32">
        <f t="shared" si="14"/>
        <v>1.3152517337936096E-3</v>
      </c>
      <c r="J57" s="30">
        <f t="shared" si="20"/>
        <v>3741.0165999999999</v>
      </c>
    </row>
    <row r="58" spans="1:10" ht="45" customHeight="1" x14ac:dyDescent="0.25">
      <c r="A58" s="333" t="s">
        <v>20</v>
      </c>
      <c r="B58" s="333">
        <v>92604</v>
      </c>
      <c r="C58" s="333" t="s">
        <v>603</v>
      </c>
      <c r="D58" s="28" t="s">
        <v>848</v>
      </c>
      <c r="E58" s="27" t="s">
        <v>31</v>
      </c>
      <c r="F58" s="29">
        <v>6</v>
      </c>
      <c r="G58" s="30">
        <v>881.29</v>
      </c>
      <c r="H58" s="30">
        <f t="shared" si="21"/>
        <v>1071.4723819999999</v>
      </c>
      <c r="I58" s="32">
        <f t="shared" si="14"/>
        <v>2.2602239853265586E-3</v>
      </c>
      <c r="J58" s="30">
        <f t="shared" ref="J58:J59" si="22">H58*F58</f>
        <v>6428.8342919999996</v>
      </c>
    </row>
    <row r="59" spans="1:10" ht="45" customHeight="1" x14ac:dyDescent="0.25">
      <c r="A59" s="333" t="s">
        <v>20</v>
      </c>
      <c r="B59" s="333">
        <v>92608</v>
      </c>
      <c r="C59" s="333" t="s">
        <v>604</v>
      </c>
      <c r="D59" s="28" t="s">
        <v>865</v>
      </c>
      <c r="E59" s="27" t="s">
        <v>31</v>
      </c>
      <c r="F59" s="29">
        <v>6</v>
      </c>
      <c r="G59" s="30">
        <v>1268.31</v>
      </c>
      <c r="H59" s="30">
        <f t="shared" si="21"/>
        <v>1542.0112979999999</v>
      </c>
      <c r="I59" s="32">
        <f t="shared" si="14"/>
        <v>3.2528051865214945E-3</v>
      </c>
      <c r="J59" s="30">
        <f t="shared" si="22"/>
        <v>9252.0677880000003</v>
      </c>
    </row>
    <row r="60" spans="1:10" ht="45" customHeight="1" x14ac:dyDescent="0.25">
      <c r="A60" s="333" t="s">
        <v>20</v>
      </c>
      <c r="B60" s="333" t="s">
        <v>863</v>
      </c>
      <c r="C60" s="333" t="s">
        <v>605</v>
      </c>
      <c r="D60" s="28" t="str">
        <f>COMPCOB!A10</f>
        <v>FABRICAÇÃO E INSTALAÇÃO DE TESOURA INTEIRA EM AÇO, VÃO DE 17 M, PARA TELHA ONDULADA DE FIBROCIMENTO, METÁLICA, PLÁSTICA OU TERMOACÚSTICA, INCLUSO IÇAMENTO.</v>
      </c>
      <c r="E60" s="27" t="s">
        <v>31</v>
      </c>
      <c r="F60" s="29">
        <v>15</v>
      </c>
      <c r="G60" s="30">
        <f>COMPCOB!F18</f>
        <v>3394.029822</v>
      </c>
      <c r="H60" s="30">
        <f t="shared" si="21"/>
        <v>4126.4614575876003</v>
      </c>
      <c r="I60" s="32">
        <f t="shared" si="14"/>
        <v>2.1761473551833197E-2</v>
      </c>
      <c r="J60" s="30">
        <f t="shared" ref="J60" si="23">H60*F60</f>
        <v>61896.921863814001</v>
      </c>
    </row>
    <row r="61" spans="1:10" ht="45" customHeight="1" x14ac:dyDescent="0.25">
      <c r="A61" s="333" t="s">
        <v>20</v>
      </c>
      <c r="B61" s="333">
        <v>92612</v>
      </c>
      <c r="C61" s="333" t="s">
        <v>606</v>
      </c>
      <c r="D61" s="28" t="s">
        <v>864</v>
      </c>
      <c r="E61" s="27" t="s">
        <v>31</v>
      </c>
      <c r="F61" s="29">
        <v>20</v>
      </c>
      <c r="G61" s="30">
        <v>1598.26</v>
      </c>
      <c r="H61" s="30">
        <f t="shared" si="21"/>
        <v>1943.1645080000001</v>
      </c>
      <c r="I61" s="32">
        <f t="shared" si="14"/>
        <v>1.3663400949320604E-2</v>
      </c>
      <c r="J61" s="30">
        <f t="shared" ref="J61:J65" si="24">H61*F61</f>
        <v>38863.290160000004</v>
      </c>
    </row>
    <row r="62" spans="1:10" ht="45" customHeight="1" x14ac:dyDescent="0.25">
      <c r="A62" s="333" t="s">
        <v>20</v>
      </c>
      <c r="B62" s="333">
        <v>92620</v>
      </c>
      <c r="C62" s="333" t="s">
        <v>870</v>
      </c>
      <c r="D62" s="28" t="s">
        <v>866</v>
      </c>
      <c r="E62" s="27" t="s">
        <v>31</v>
      </c>
      <c r="F62" s="29">
        <v>13</v>
      </c>
      <c r="G62" s="30">
        <v>2347.64</v>
      </c>
      <c r="H62" s="30">
        <f t="shared" si="21"/>
        <v>2854.2607119999998</v>
      </c>
      <c r="I62" s="32">
        <f t="shared" si="14"/>
        <v>1.3045365142737075E-2</v>
      </c>
      <c r="J62" s="30">
        <f t="shared" si="24"/>
        <v>37105.389255999995</v>
      </c>
    </row>
    <row r="63" spans="1:10" ht="45" customHeight="1" x14ac:dyDescent="0.25">
      <c r="A63" s="333" t="s">
        <v>20</v>
      </c>
      <c r="B63" s="333">
        <v>92618</v>
      </c>
      <c r="C63" s="333" t="s">
        <v>871</v>
      </c>
      <c r="D63" s="28" t="s">
        <v>867</v>
      </c>
      <c r="E63" s="27" t="s">
        <v>31</v>
      </c>
      <c r="F63" s="29">
        <v>13</v>
      </c>
      <c r="G63" s="30">
        <v>2197.66</v>
      </c>
      <c r="H63" s="30">
        <f t="shared" si="21"/>
        <v>2671.9150279999999</v>
      </c>
      <c r="I63" s="32">
        <f t="shared" si="14"/>
        <v>1.2211956330437189E-2</v>
      </c>
      <c r="J63" s="30">
        <f t="shared" si="24"/>
        <v>34734.895363999996</v>
      </c>
    </row>
    <row r="64" spans="1:10" ht="45" customHeight="1" x14ac:dyDescent="0.25">
      <c r="A64" s="333" t="s">
        <v>20</v>
      </c>
      <c r="B64" s="333">
        <v>92606</v>
      </c>
      <c r="C64" s="333" t="s">
        <v>872</v>
      </c>
      <c r="D64" s="28" t="s">
        <v>868</v>
      </c>
      <c r="E64" s="27" t="s">
        <v>31</v>
      </c>
      <c r="F64" s="29">
        <v>9</v>
      </c>
      <c r="G64" s="30">
        <v>1031.28</v>
      </c>
      <c r="H64" s="30">
        <f t="shared" si="21"/>
        <v>1253.830224</v>
      </c>
      <c r="I64" s="32">
        <f t="shared" si="14"/>
        <v>3.9673497797335271E-3</v>
      </c>
      <c r="J64" s="30">
        <f t="shared" si="24"/>
        <v>11284.472016</v>
      </c>
    </row>
    <row r="65" spans="1:10" ht="45" customHeight="1" x14ac:dyDescent="0.25">
      <c r="A65" s="333" t="s">
        <v>20</v>
      </c>
      <c r="B65" s="333">
        <v>92614</v>
      </c>
      <c r="C65" s="333" t="s">
        <v>873</v>
      </c>
      <c r="D65" s="28" t="s">
        <v>869</v>
      </c>
      <c r="E65" s="27" t="s">
        <v>31</v>
      </c>
      <c r="F65" s="29">
        <v>13</v>
      </c>
      <c r="G65" s="30">
        <v>1805.1</v>
      </c>
      <c r="H65" s="30">
        <f t="shared" si="21"/>
        <v>2194.6405799999998</v>
      </c>
      <c r="I65" s="32">
        <f t="shared" si="14"/>
        <v>1.0030579057757874E-2</v>
      </c>
      <c r="J65" s="30">
        <f t="shared" si="24"/>
        <v>28530.327539999998</v>
      </c>
    </row>
    <row r="66" spans="1:10" ht="30" x14ac:dyDescent="0.25">
      <c r="A66" s="3" t="s">
        <v>20</v>
      </c>
      <c r="B66" s="3">
        <v>94231</v>
      </c>
      <c r="C66" s="333" t="s">
        <v>874</v>
      </c>
      <c r="D66" s="28" t="s">
        <v>209</v>
      </c>
      <c r="E66" s="27" t="s">
        <v>24</v>
      </c>
      <c r="F66" s="29">
        <f>MEMCALCOBERT!D26</f>
        <v>79.399999999999991</v>
      </c>
      <c r="G66" s="29">
        <v>64.540000000000006</v>
      </c>
      <c r="H66" s="30">
        <f t="shared" si="21"/>
        <v>78.467732000000012</v>
      </c>
      <c r="I66" s="32">
        <f t="shared" si="14"/>
        <v>2.1904374207941963E-3</v>
      </c>
      <c r="J66" s="30">
        <f t="shared" si="20"/>
        <v>6230.3379208000006</v>
      </c>
    </row>
    <row r="67" spans="1:10" ht="30" x14ac:dyDescent="0.25">
      <c r="A67" s="3" t="s">
        <v>20</v>
      </c>
      <c r="B67" s="3">
        <v>94228</v>
      </c>
      <c r="C67" s="333" t="s">
        <v>875</v>
      </c>
      <c r="D67" s="28" t="s">
        <v>210</v>
      </c>
      <c r="E67" s="27" t="s">
        <v>24</v>
      </c>
      <c r="F67" s="29">
        <f>MEMCALCOBERT!C26</f>
        <v>523.50999999999988</v>
      </c>
      <c r="G67" s="29">
        <v>107.84</v>
      </c>
      <c r="H67" s="30">
        <f t="shared" si="21"/>
        <v>131.11187200000001</v>
      </c>
      <c r="I67" s="32">
        <f t="shared" si="14"/>
        <v>2.4131607217247403E-2</v>
      </c>
      <c r="J67" s="30">
        <f t="shared" si="20"/>
        <v>68638.376110719983</v>
      </c>
    </row>
    <row r="68" spans="1:10" ht="30" x14ac:dyDescent="0.25">
      <c r="A68" s="3" t="s">
        <v>20</v>
      </c>
      <c r="B68" s="3">
        <v>100327</v>
      </c>
      <c r="C68" s="333" t="s">
        <v>876</v>
      </c>
      <c r="D68" s="28" t="s">
        <v>211</v>
      </c>
      <c r="E68" s="27" t="s">
        <v>24</v>
      </c>
      <c r="F68" s="29">
        <f>MEMCALCOBERT!E26</f>
        <v>624.83000000000004</v>
      </c>
      <c r="G68" s="29">
        <v>71.67</v>
      </c>
      <c r="H68" s="30">
        <f t="shared" si="21"/>
        <v>87.136386000000002</v>
      </c>
      <c r="I68" s="32">
        <f t="shared" si="14"/>
        <v>1.9141707005205764E-2</v>
      </c>
      <c r="J68" s="30">
        <f t="shared" si="20"/>
        <v>54445.428064380001</v>
      </c>
    </row>
    <row r="69" spans="1:10" ht="30" x14ac:dyDescent="0.25">
      <c r="A69" s="3" t="s">
        <v>20</v>
      </c>
      <c r="B69" s="3">
        <v>96116</v>
      </c>
      <c r="C69" s="333" t="s">
        <v>877</v>
      </c>
      <c r="D69" s="28" t="s">
        <v>236</v>
      </c>
      <c r="E69" s="27" t="s">
        <v>22</v>
      </c>
      <c r="F69" s="29">
        <f>MEMCALCOBERT!C84</f>
        <v>2198.9899999999993</v>
      </c>
      <c r="G69" s="29">
        <v>80.72</v>
      </c>
      <c r="H69" s="30">
        <f t="shared" si="21"/>
        <v>98.139375999999999</v>
      </c>
      <c r="I69" s="32">
        <f t="shared" si="14"/>
        <v>7.5872744589812469E-2</v>
      </c>
      <c r="J69" s="30">
        <f t="shared" si="20"/>
        <v>215807.50643023994</v>
      </c>
    </row>
    <row r="70" spans="1:10" x14ac:dyDescent="0.25">
      <c r="A70" s="49"/>
      <c r="B70" s="49"/>
      <c r="C70" s="49" t="s">
        <v>51</v>
      </c>
      <c r="D70" s="49" t="s">
        <v>212</v>
      </c>
      <c r="E70" s="49"/>
      <c r="F70" s="49"/>
      <c r="G70" s="11"/>
      <c r="H70" s="49"/>
      <c r="I70" s="23">
        <f t="shared" si="14"/>
        <v>0.17093872934555446</v>
      </c>
      <c r="J70" s="11">
        <f>SUM(J71:J75)</f>
        <v>486207.0184999085</v>
      </c>
    </row>
    <row r="71" spans="1:10" ht="45" x14ac:dyDescent="0.25">
      <c r="A71" s="3" t="s">
        <v>20</v>
      </c>
      <c r="B71" s="3">
        <v>87682</v>
      </c>
      <c r="C71" s="3" t="s">
        <v>81</v>
      </c>
      <c r="D71" s="28" t="s">
        <v>243</v>
      </c>
      <c r="E71" s="27" t="s">
        <v>22</v>
      </c>
      <c r="F71" s="29">
        <f>MEMCALPIS!C11</f>
        <v>1603.96</v>
      </c>
      <c r="G71" s="30">
        <v>47.87</v>
      </c>
      <c r="H71" s="30">
        <f>G71*1.2158</f>
        <v>58.200345999999996</v>
      </c>
      <c r="I71" s="32">
        <f t="shared" si="14"/>
        <v>3.281998269505592E-2</v>
      </c>
      <c r="J71" s="30">
        <f t="shared" ref="J71" si="25">H71*F71</f>
        <v>93351.02697015999</v>
      </c>
    </row>
    <row r="72" spans="1:10" ht="30" customHeight="1" x14ac:dyDescent="0.25">
      <c r="A72" s="3" t="s">
        <v>20</v>
      </c>
      <c r="B72" s="3">
        <v>4786</v>
      </c>
      <c r="C72" s="313" t="s">
        <v>140</v>
      </c>
      <c r="D72" s="28" t="s">
        <v>213</v>
      </c>
      <c r="E72" s="27" t="s">
        <v>22</v>
      </c>
      <c r="F72" s="29">
        <f>MEMCALPIS!C54</f>
        <v>1949.0000000000002</v>
      </c>
      <c r="G72" s="30">
        <v>93.5</v>
      </c>
      <c r="H72" s="30">
        <f t="shared" ref="H72:H75" si="26">G72*1.2158</f>
        <v>113.6773</v>
      </c>
      <c r="I72" s="32">
        <f t="shared" si="14"/>
        <v>7.7894148952489514E-2</v>
      </c>
      <c r="J72" s="30">
        <f t="shared" si="20"/>
        <v>221557.05770000003</v>
      </c>
    </row>
    <row r="73" spans="1:10" ht="30" customHeight="1" x14ac:dyDescent="0.25">
      <c r="A73" s="3" t="s">
        <v>20</v>
      </c>
      <c r="B73" s="3">
        <v>97639</v>
      </c>
      <c r="C73" s="313" t="s">
        <v>141</v>
      </c>
      <c r="D73" s="28" t="s">
        <v>469</v>
      </c>
      <c r="E73" s="27" t="s">
        <v>22</v>
      </c>
      <c r="F73" s="29">
        <f>MEMCALPIS!C11+MEMCALPIS!C98</f>
        <v>3599.16</v>
      </c>
      <c r="G73" s="30">
        <v>16.32</v>
      </c>
      <c r="H73" s="30">
        <f t="shared" si="26"/>
        <v>19.841856</v>
      </c>
      <c r="I73" s="32">
        <f t="shared" si="14"/>
        <v>2.5107455099406543E-2</v>
      </c>
      <c r="J73" s="30">
        <f t="shared" ref="J73:J74" si="27">H73*F73</f>
        <v>71414.014440960003</v>
      </c>
    </row>
    <row r="74" spans="1:10" ht="30" customHeight="1" x14ac:dyDescent="0.25">
      <c r="A74" s="3" t="s">
        <v>20</v>
      </c>
      <c r="B74" s="3">
        <v>87248</v>
      </c>
      <c r="C74" s="313" t="s">
        <v>142</v>
      </c>
      <c r="D74" s="28" t="s">
        <v>472</v>
      </c>
      <c r="E74" s="27" t="s">
        <v>22</v>
      </c>
      <c r="F74" s="29">
        <f>MEMCALPIS!C111</f>
        <v>270.89999999999998</v>
      </c>
      <c r="G74" s="30">
        <v>49.15</v>
      </c>
      <c r="H74" s="30">
        <f t="shared" si="26"/>
        <v>59.756569999999996</v>
      </c>
      <c r="I74" s="32">
        <f t="shared" si="14"/>
        <v>5.6913319121717435E-3</v>
      </c>
      <c r="J74" s="30">
        <f t="shared" si="27"/>
        <v>16188.054812999997</v>
      </c>
    </row>
    <row r="75" spans="1:10" ht="30" customHeight="1" x14ac:dyDescent="0.25">
      <c r="A75" s="3" t="s">
        <v>20</v>
      </c>
      <c r="B75" s="3">
        <v>101094</v>
      </c>
      <c r="C75" s="313" t="s">
        <v>607</v>
      </c>
      <c r="D75" s="28" t="s">
        <v>483</v>
      </c>
      <c r="E75" s="27" t="s">
        <v>326</v>
      </c>
      <c r="F75" s="29">
        <f>MEMCALPIS!C117</f>
        <v>320.45890000000003</v>
      </c>
      <c r="G75" s="30">
        <v>214.82</v>
      </c>
      <c r="H75" s="30">
        <f t="shared" si="26"/>
        <v>261.178156</v>
      </c>
      <c r="I75" s="32">
        <f t="shared" si="14"/>
        <v>2.9425810686430704E-2</v>
      </c>
      <c r="J75" s="30">
        <f t="shared" ref="J75" si="28">H75*F75</f>
        <v>83696.864575788408</v>
      </c>
    </row>
    <row r="76" spans="1:10" x14ac:dyDescent="0.25">
      <c r="A76" s="49"/>
      <c r="B76" s="49"/>
      <c r="C76" s="49" t="s">
        <v>52</v>
      </c>
      <c r="D76" s="49" t="s">
        <v>214</v>
      </c>
      <c r="E76" s="49"/>
      <c r="F76" s="49"/>
      <c r="G76" s="11"/>
      <c r="H76" s="49"/>
      <c r="I76" s="23">
        <f t="shared" si="14"/>
        <v>5.0872186713990013E-2</v>
      </c>
      <c r="J76" s="11">
        <f>SUM(J77:J84)</f>
        <v>144697.54350857998</v>
      </c>
    </row>
    <row r="77" spans="1:10" x14ac:dyDescent="0.25">
      <c r="A77" s="31"/>
      <c r="B77" s="31"/>
      <c r="C77" s="3" t="s">
        <v>82</v>
      </c>
      <c r="D77" s="58" t="s">
        <v>215</v>
      </c>
      <c r="E77" s="34"/>
      <c r="F77" s="59"/>
      <c r="G77" s="30"/>
      <c r="H77" s="34"/>
      <c r="I77" s="60"/>
      <c r="J77" s="34"/>
    </row>
    <row r="78" spans="1:10" ht="45" x14ac:dyDescent="0.25">
      <c r="A78" s="3" t="s">
        <v>20</v>
      </c>
      <c r="B78" s="3">
        <v>94570</v>
      </c>
      <c r="C78" s="3" t="s">
        <v>608</v>
      </c>
      <c r="D78" s="28" t="s">
        <v>216</v>
      </c>
      <c r="E78" s="27" t="s">
        <v>22</v>
      </c>
      <c r="F78" s="29">
        <f>MEMCALESQ!G12+MEMCALESQ!G13+MEMCALESQ!G14+MEMCALESQ!G15+MEMCALESQ!G16</f>
        <v>127.92</v>
      </c>
      <c r="G78" s="30">
        <v>309.27</v>
      </c>
      <c r="H78" s="30">
        <f>G78*1.2158</f>
        <v>376.01046599999995</v>
      </c>
      <c r="I78" s="32">
        <f>J78/J$225</f>
        <v>1.6910546065202443E-2</v>
      </c>
      <c r="J78" s="30">
        <f t="shared" ref="J78:J80" si="29">H78*F78</f>
        <v>48099.258810719992</v>
      </c>
    </row>
    <row r="79" spans="1:10" ht="30" x14ac:dyDescent="0.25">
      <c r="A79" s="3" t="s">
        <v>20</v>
      </c>
      <c r="B79" s="3">
        <v>94569</v>
      </c>
      <c r="C79" s="3" t="s">
        <v>610</v>
      </c>
      <c r="D79" s="28" t="s">
        <v>391</v>
      </c>
      <c r="E79" s="27" t="s">
        <v>22</v>
      </c>
      <c r="F79" s="29">
        <f>MEMCALESQ!G11</f>
        <v>2.52</v>
      </c>
      <c r="G79" s="30">
        <v>596.84</v>
      </c>
      <c r="H79" s="30">
        <f t="shared" ref="H79:H84" si="30">G79*1.2158</f>
        <v>725.63807200000008</v>
      </c>
      <c r="I79" s="32">
        <f>J79/J$225</f>
        <v>6.4289470552141459E-4</v>
      </c>
      <c r="J79" s="30">
        <f t="shared" ref="J79" si="31">H79*F79</f>
        <v>1828.6079414400001</v>
      </c>
    </row>
    <row r="80" spans="1:10" x14ac:dyDescent="0.25">
      <c r="A80" s="3" t="s">
        <v>20</v>
      </c>
      <c r="B80" s="3">
        <v>97645</v>
      </c>
      <c r="C80" s="3" t="s">
        <v>611</v>
      </c>
      <c r="D80" s="28" t="s">
        <v>217</v>
      </c>
      <c r="E80" s="27" t="s">
        <v>22</v>
      </c>
      <c r="F80" s="29">
        <f>MEMCALESQ!G27</f>
        <v>130.43999999999997</v>
      </c>
      <c r="G80" s="30">
        <v>28.52</v>
      </c>
      <c r="H80" s="30">
        <f t="shared" si="30"/>
        <v>34.674616</v>
      </c>
      <c r="I80" s="32">
        <f>J80/J$225</f>
        <v>1.5901631976503786E-3</v>
      </c>
      <c r="J80" s="30">
        <f t="shared" si="29"/>
        <v>4522.9569110399989</v>
      </c>
    </row>
    <row r="81" spans="1:10" x14ac:dyDescent="0.25">
      <c r="A81" s="3"/>
      <c r="B81" s="3"/>
      <c r="C81" s="3" t="s">
        <v>83</v>
      </c>
      <c r="D81" s="58" t="s">
        <v>218</v>
      </c>
      <c r="E81" s="27"/>
      <c r="F81" s="29"/>
      <c r="G81" s="30"/>
      <c r="H81" s="30"/>
      <c r="I81" s="32"/>
      <c r="J81" s="30"/>
    </row>
    <row r="82" spans="1:10" ht="30" x14ac:dyDescent="0.25">
      <c r="A82" s="3" t="s">
        <v>20</v>
      </c>
      <c r="B82" s="3">
        <v>91341</v>
      </c>
      <c r="C82" s="3" t="s">
        <v>373</v>
      </c>
      <c r="D82" s="28" t="s">
        <v>219</v>
      </c>
      <c r="E82" s="27" t="s">
        <v>22</v>
      </c>
      <c r="F82" s="29">
        <f>MEMCALESQ!G31+MEMCALESQ!G32</f>
        <v>108.57000000000001</v>
      </c>
      <c r="G82" s="30">
        <v>605.45000000000005</v>
      </c>
      <c r="H82" s="30">
        <f t="shared" si="30"/>
        <v>736.10611000000006</v>
      </c>
      <c r="I82" s="32">
        <f>J82/J$225</f>
        <v>2.8097618278454754E-2</v>
      </c>
      <c r="J82" s="30">
        <f t="shared" ref="J82:J84" si="32">H82*F82</f>
        <v>79919.040362700005</v>
      </c>
    </row>
    <row r="83" spans="1:10" x14ac:dyDescent="0.25">
      <c r="A83" s="3" t="s">
        <v>20</v>
      </c>
      <c r="B83" s="3">
        <v>97644</v>
      </c>
      <c r="C83" s="3" t="s">
        <v>374</v>
      </c>
      <c r="D83" s="28" t="s">
        <v>371</v>
      </c>
      <c r="E83" s="27" t="s">
        <v>22</v>
      </c>
      <c r="F83" s="29">
        <f>MEMCALESQ!G43</f>
        <v>126.21000000000001</v>
      </c>
      <c r="G83" s="30">
        <v>7.5</v>
      </c>
      <c r="H83" s="30">
        <f t="shared" si="30"/>
        <v>9.1184999999999992</v>
      </c>
      <c r="I83" s="32">
        <f>J83/J$225</f>
        <v>4.0460981797714853E-4</v>
      </c>
      <c r="J83" s="30">
        <f t="shared" ref="J83" si="33">H83*F83</f>
        <v>1150.845885</v>
      </c>
    </row>
    <row r="84" spans="1:10" ht="30" x14ac:dyDescent="0.25">
      <c r="A84" s="3" t="s">
        <v>20</v>
      </c>
      <c r="B84" s="3">
        <v>100702</v>
      </c>
      <c r="C84" s="3" t="s">
        <v>375</v>
      </c>
      <c r="D84" s="28" t="s">
        <v>220</v>
      </c>
      <c r="E84" s="27" t="s">
        <v>22</v>
      </c>
      <c r="F84" s="29">
        <f>MEMCALESQ!G33+MEMCALESQ!G34</f>
        <v>17.64</v>
      </c>
      <c r="G84" s="30">
        <v>427.89</v>
      </c>
      <c r="H84" s="30">
        <f t="shared" si="30"/>
        <v>520.22866199999999</v>
      </c>
      <c r="I84" s="32">
        <f>J84/J$225</f>
        <v>3.2263546491838797E-3</v>
      </c>
      <c r="J84" s="30">
        <f t="shared" si="32"/>
        <v>9176.8335976800008</v>
      </c>
    </row>
    <row r="85" spans="1:10" x14ac:dyDescent="0.25">
      <c r="A85" s="14"/>
      <c r="B85" s="14"/>
      <c r="C85" s="14" t="s">
        <v>53</v>
      </c>
      <c r="D85" s="14" t="s">
        <v>108</v>
      </c>
      <c r="E85" s="14"/>
      <c r="F85" s="14"/>
      <c r="G85" s="14"/>
      <c r="H85" s="14"/>
      <c r="I85" s="23">
        <f>(J85/J$225)</f>
        <v>2.1217498510313192E-2</v>
      </c>
      <c r="J85" s="11">
        <f>SUM(J86:J142)</f>
        <v>60349.674589375994</v>
      </c>
    </row>
    <row r="86" spans="1:10" x14ac:dyDescent="0.25">
      <c r="A86" s="3" t="s">
        <v>20</v>
      </c>
      <c r="B86" s="275">
        <v>5103</v>
      </c>
      <c r="C86" s="3" t="s">
        <v>89</v>
      </c>
      <c r="D86" s="28" t="s">
        <v>749</v>
      </c>
      <c r="E86" s="3" t="s">
        <v>327</v>
      </c>
      <c r="F86" s="4">
        <v>2</v>
      </c>
      <c r="G86" s="5">
        <v>28.71</v>
      </c>
      <c r="H86" s="5">
        <f>G86*1.2158</f>
        <v>34.905618000000004</v>
      </c>
      <c r="I86" s="32">
        <f>J86/J$225</f>
        <v>2.4543956631273669E-5</v>
      </c>
      <c r="J86" s="5">
        <f t="shared" ref="J86:J128" si="34">H86*F86</f>
        <v>69.811236000000008</v>
      </c>
    </row>
    <row r="87" spans="1:10" x14ac:dyDescent="0.25">
      <c r="A87" s="313" t="s">
        <v>20</v>
      </c>
      <c r="B87" s="275">
        <v>89744</v>
      </c>
      <c r="C87" s="313" t="s">
        <v>143</v>
      </c>
      <c r="D87" s="28" t="s">
        <v>750</v>
      </c>
      <c r="E87" s="3" t="s">
        <v>327</v>
      </c>
      <c r="F87" s="4">
        <v>5</v>
      </c>
      <c r="G87" s="5">
        <v>26.98</v>
      </c>
      <c r="H87" s="5">
        <f t="shared" ref="H87:H142" si="35">G87*1.2158</f>
        <v>32.802284</v>
      </c>
      <c r="I87" s="32">
        <f>J87/J$225</f>
        <v>5.7662482576781911E-5</v>
      </c>
      <c r="J87" s="5">
        <f t="shared" ref="J87:J102" si="36">H87*F87</f>
        <v>164.01141999999999</v>
      </c>
    </row>
    <row r="88" spans="1:10" ht="30" x14ac:dyDescent="0.25">
      <c r="A88" s="313" t="s">
        <v>20</v>
      </c>
      <c r="B88" s="275">
        <v>89848</v>
      </c>
      <c r="C88" s="333" t="s">
        <v>470</v>
      </c>
      <c r="D88" s="28" t="s">
        <v>751</v>
      </c>
      <c r="E88" s="3" t="s">
        <v>24</v>
      </c>
      <c r="F88" s="4">
        <v>7</v>
      </c>
      <c r="G88" s="5">
        <v>36.08</v>
      </c>
      <c r="H88" s="5">
        <f t="shared" si="35"/>
        <v>43.866063999999994</v>
      </c>
      <c r="I88" s="32">
        <f>J88/J$225</f>
        <v>1.079557939183991E-4</v>
      </c>
      <c r="J88" s="5">
        <f t="shared" si="36"/>
        <v>307.06244799999996</v>
      </c>
    </row>
    <row r="89" spans="1:10" ht="45" x14ac:dyDescent="0.25">
      <c r="A89" s="313" t="s">
        <v>20</v>
      </c>
      <c r="B89" s="313">
        <v>98068</v>
      </c>
      <c r="C89" s="333" t="s">
        <v>471</v>
      </c>
      <c r="D89" s="28" t="s">
        <v>756</v>
      </c>
      <c r="E89" s="313" t="s">
        <v>31</v>
      </c>
      <c r="F89" s="4">
        <v>1</v>
      </c>
      <c r="G89" s="5">
        <v>9251.68</v>
      </c>
      <c r="H89" s="5">
        <f t="shared" si="35"/>
        <v>11248.192544</v>
      </c>
      <c r="I89" s="32">
        <f>J89/J$225</f>
        <v>3.9545947872940083E-3</v>
      </c>
      <c r="J89" s="5">
        <f t="shared" si="36"/>
        <v>11248.192544</v>
      </c>
    </row>
    <row r="90" spans="1:10" ht="45" x14ac:dyDescent="0.25">
      <c r="A90" s="313" t="s">
        <v>20</v>
      </c>
      <c r="B90" s="313">
        <v>98065</v>
      </c>
      <c r="C90" s="333" t="s">
        <v>482</v>
      </c>
      <c r="D90" s="28" t="s">
        <v>755</v>
      </c>
      <c r="E90" s="313" t="s">
        <v>31</v>
      </c>
      <c r="F90" s="4">
        <v>1</v>
      </c>
      <c r="G90" s="5">
        <v>7241.84</v>
      </c>
      <c r="H90" s="5">
        <f t="shared" si="35"/>
        <v>8804.6290719999997</v>
      </c>
      <c r="I90" s="32">
        <f>J90/J$225</f>
        <v>3.0954964627416034E-3</v>
      </c>
      <c r="J90" s="5">
        <f t="shared" ref="J90" si="37">H90*F90</f>
        <v>8804.6290719999997</v>
      </c>
    </row>
    <row r="91" spans="1:10" ht="30" x14ac:dyDescent="0.25">
      <c r="A91" s="313" t="s">
        <v>20</v>
      </c>
      <c r="B91" s="313" t="s">
        <v>766</v>
      </c>
      <c r="C91" s="333" t="s">
        <v>612</v>
      </c>
      <c r="D91" s="28" t="str">
        <f>COMPHID!A10</f>
        <v>CAIXA SIFONADA, PVC, 150 X 150 X 50MM, COM GRELHA QUADRADA, BRANCA - FORNECIMENTO E INSTALAÇÃO</v>
      </c>
      <c r="E91" s="313" t="s">
        <v>31</v>
      </c>
      <c r="F91" s="4">
        <v>7</v>
      </c>
      <c r="G91" s="5">
        <f>COMPHID!F20</f>
        <v>76.315238000000008</v>
      </c>
      <c r="H91" s="5">
        <f t="shared" si="35"/>
        <v>92.784066360400004</v>
      </c>
      <c r="I91" s="32"/>
      <c r="J91" s="5"/>
    </row>
    <row r="92" spans="1:10" ht="30" x14ac:dyDescent="0.25">
      <c r="A92" s="313" t="s">
        <v>20</v>
      </c>
      <c r="B92" s="3">
        <v>86881</v>
      </c>
      <c r="C92" s="333" t="s">
        <v>613</v>
      </c>
      <c r="D92" s="28" t="s">
        <v>767</v>
      </c>
      <c r="E92" s="3" t="s">
        <v>31</v>
      </c>
      <c r="F92" s="4">
        <v>7</v>
      </c>
      <c r="G92" s="5">
        <v>235.79</v>
      </c>
      <c r="H92" s="5">
        <f t="shared" si="35"/>
        <v>286.67348199999998</v>
      </c>
      <c r="I92" s="32">
        <f t="shared" ref="I92:I123" si="38">J92/J$225</f>
        <v>7.0551265654155554E-4</v>
      </c>
      <c r="J92" s="5">
        <f t="shared" si="36"/>
        <v>2006.7143739999999</v>
      </c>
    </row>
    <row r="93" spans="1:10" ht="30" x14ac:dyDescent="0.25">
      <c r="A93" s="313" t="s">
        <v>20</v>
      </c>
      <c r="B93" s="3">
        <v>86879</v>
      </c>
      <c r="C93" s="333" t="s">
        <v>614</v>
      </c>
      <c r="D93" s="28" t="s">
        <v>768</v>
      </c>
      <c r="E93" s="3" t="s">
        <v>31</v>
      </c>
      <c r="F93" s="4">
        <v>7</v>
      </c>
      <c r="G93" s="5">
        <v>8.07</v>
      </c>
      <c r="H93" s="5">
        <f t="shared" si="35"/>
        <v>9.8115059999999996</v>
      </c>
      <c r="I93" s="32">
        <f t="shared" si="38"/>
        <v>2.4146431732857007E-5</v>
      </c>
      <c r="J93" s="5">
        <f t="shared" si="36"/>
        <v>68.680542000000003</v>
      </c>
    </row>
    <row r="94" spans="1:10" ht="45" x14ac:dyDescent="0.25">
      <c r="A94" s="313" t="s">
        <v>20</v>
      </c>
      <c r="B94" s="313">
        <v>89728</v>
      </c>
      <c r="C94" s="333" t="s">
        <v>615</v>
      </c>
      <c r="D94" s="28" t="s">
        <v>769</v>
      </c>
      <c r="E94" s="313" t="s">
        <v>31</v>
      </c>
      <c r="F94" s="4">
        <v>7</v>
      </c>
      <c r="G94" s="5">
        <v>12.31</v>
      </c>
      <c r="H94" s="5">
        <f t="shared" si="35"/>
        <v>14.966498</v>
      </c>
      <c r="I94" s="32">
        <f t="shared" si="38"/>
        <v>3.6833032792003689E-5</v>
      </c>
      <c r="J94" s="5">
        <f t="shared" si="36"/>
        <v>104.765486</v>
      </c>
    </row>
    <row r="95" spans="1:10" ht="45" x14ac:dyDescent="0.25">
      <c r="A95" s="313" t="s">
        <v>20</v>
      </c>
      <c r="B95" s="313">
        <v>89746</v>
      </c>
      <c r="C95" s="333" t="s">
        <v>616</v>
      </c>
      <c r="D95" s="28" t="s">
        <v>770</v>
      </c>
      <c r="E95" s="313" t="s">
        <v>31</v>
      </c>
      <c r="F95" s="4">
        <v>3</v>
      </c>
      <c r="G95" s="5">
        <v>26.9</v>
      </c>
      <c r="H95" s="5">
        <f t="shared" si="35"/>
        <v>32.705019999999998</v>
      </c>
      <c r="I95" s="32">
        <f t="shared" si="38"/>
        <v>3.4494902475510012E-5</v>
      </c>
      <c r="J95" s="5">
        <f t="shared" si="36"/>
        <v>98.11506</v>
      </c>
    </row>
    <row r="96" spans="1:10" ht="45" x14ac:dyDescent="0.25">
      <c r="A96" s="313" t="s">
        <v>20</v>
      </c>
      <c r="B96" s="313">
        <v>89726</v>
      </c>
      <c r="C96" s="333" t="s">
        <v>617</v>
      </c>
      <c r="D96" s="28" t="s">
        <v>771</v>
      </c>
      <c r="E96" s="313" t="s">
        <v>31</v>
      </c>
      <c r="F96" s="4">
        <v>5</v>
      </c>
      <c r="G96" s="5">
        <v>7.67</v>
      </c>
      <c r="H96" s="5">
        <f t="shared" si="35"/>
        <v>9.3251860000000004</v>
      </c>
      <c r="I96" s="32">
        <f t="shared" si="38"/>
        <v>1.6392558983095527E-5</v>
      </c>
      <c r="J96" s="5">
        <f t="shared" si="36"/>
        <v>46.625930000000004</v>
      </c>
    </row>
    <row r="97" spans="1:10" ht="45" x14ac:dyDescent="0.25">
      <c r="A97" s="313" t="s">
        <v>20</v>
      </c>
      <c r="B97" s="313">
        <v>89732</v>
      </c>
      <c r="C97" s="333" t="s">
        <v>618</v>
      </c>
      <c r="D97" s="28" t="s">
        <v>772</v>
      </c>
      <c r="E97" s="313" t="s">
        <v>31</v>
      </c>
      <c r="F97" s="4">
        <v>3</v>
      </c>
      <c r="G97" s="5">
        <v>12.36</v>
      </c>
      <c r="H97" s="5">
        <f t="shared" si="35"/>
        <v>15.027287999999999</v>
      </c>
      <c r="I97" s="32">
        <f t="shared" si="38"/>
        <v>1.5849702401386756E-5</v>
      </c>
      <c r="J97" s="5">
        <f t="shared" si="36"/>
        <v>45.081863999999996</v>
      </c>
    </row>
    <row r="98" spans="1:10" ht="45" x14ac:dyDescent="0.25">
      <c r="A98" s="313" t="s">
        <v>20</v>
      </c>
      <c r="B98" s="313">
        <v>89744</v>
      </c>
      <c r="C98" s="333" t="s">
        <v>619</v>
      </c>
      <c r="D98" s="28" t="s">
        <v>773</v>
      </c>
      <c r="E98" s="313" t="s">
        <v>31</v>
      </c>
      <c r="F98" s="4">
        <v>13</v>
      </c>
      <c r="G98" s="5">
        <v>26.98</v>
      </c>
      <c r="H98" s="5">
        <f t="shared" si="35"/>
        <v>32.802284</v>
      </c>
      <c r="I98" s="32">
        <f t="shared" si="38"/>
        <v>1.4992245469963296E-4</v>
      </c>
      <c r="J98" s="5">
        <f t="shared" si="36"/>
        <v>426.42969199999999</v>
      </c>
    </row>
    <row r="99" spans="1:10" ht="45" x14ac:dyDescent="0.25">
      <c r="A99" s="313" t="s">
        <v>20</v>
      </c>
      <c r="B99" s="313">
        <v>89724</v>
      </c>
      <c r="C99" s="333" t="s">
        <v>620</v>
      </c>
      <c r="D99" s="28" t="s">
        <v>774</v>
      </c>
      <c r="E99" s="313" t="s">
        <v>31</v>
      </c>
      <c r="F99" s="4">
        <v>7</v>
      </c>
      <c r="G99" s="5">
        <v>11.39</v>
      </c>
      <c r="H99" s="5">
        <f t="shared" si="35"/>
        <v>13.847962000000001</v>
      </c>
      <c r="I99" s="32">
        <f t="shared" si="38"/>
        <v>3.408027973200017E-5</v>
      </c>
      <c r="J99" s="5">
        <f t="shared" si="36"/>
        <v>96.935734000000011</v>
      </c>
    </row>
    <row r="100" spans="1:10" ht="30" x14ac:dyDescent="0.25">
      <c r="A100" s="313" t="s">
        <v>20</v>
      </c>
      <c r="B100" s="3" t="s">
        <v>84</v>
      </c>
      <c r="C100" s="333" t="s">
        <v>621</v>
      </c>
      <c r="D100" s="28" t="str">
        <f>COMPHID!A24</f>
        <v>JUNCAO SIMPLES, PVC, SERIE R, DN 100 X 50 MM PARA ESGOTO PREDIAL - FORNECIMENTO E INSTALAÇÃO</v>
      </c>
      <c r="E100" s="3" t="s">
        <v>327</v>
      </c>
      <c r="F100" s="4">
        <v>3</v>
      </c>
      <c r="G100" s="5">
        <f>COMPHID!F32</f>
        <v>45.002340000000004</v>
      </c>
      <c r="H100" s="5">
        <f t="shared" si="35"/>
        <v>54.713844972000004</v>
      </c>
      <c r="I100" s="32">
        <f t="shared" si="38"/>
        <v>5.7708227861328747E-5</v>
      </c>
      <c r="J100" s="5">
        <f t="shared" si="36"/>
        <v>164.14153491600001</v>
      </c>
    </row>
    <row r="101" spans="1:10" ht="45" x14ac:dyDescent="0.25">
      <c r="A101" s="313" t="s">
        <v>20</v>
      </c>
      <c r="B101" s="3">
        <v>89797</v>
      </c>
      <c r="C101" s="333" t="s">
        <v>622</v>
      </c>
      <c r="D101" s="28" t="s">
        <v>780</v>
      </c>
      <c r="E101" s="3" t="s">
        <v>327</v>
      </c>
      <c r="F101" s="4">
        <v>4</v>
      </c>
      <c r="G101" s="5">
        <v>54.16</v>
      </c>
      <c r="H101" s="5">
        <f t="shared" si="35"/>
        <v>65.847727999999989</v>
      </c>
      <c r="I101" s="32">
        <f t="shared" si="38"/>
        <v>9.260192902471484E-5</v>
      </c>
      <c r="J101" s="5">
        <f t="shared" si="36"/>
        <v>263.39091199999996</v>
      </c>
    </row>
    <row r="102" spans="1:10" ht="30" x14ac:dyDescent="0.25">
      <c r="A102" s="313" t="s">
        <v>20</v>
      </c>
      <c r="B102" s="3">
        <v>89714</v>
      </c>
      <c r="C102" s="333" t="s">
        <v>623</v>
      </c>
      <c r="D102" s="28" t="s">
        <v>781</v>
      </c>
      <c r="E102" s="3" t="s">
        <v>24</v>
      </c>
      <c r="F102" s="4">
        <v>59.33</v>
      </c>
      <c r="G102" s="5">
        <v>60.59</v>
      </c>
      <c r="H102" s="5">
        <f t="shared" si="35"/>
        <v>73.665322000000003</v>
      </c>
      <c r="I102" s="32">
        <f t="shared" si="38"/>
        <v>1.5365853475217475E-3</v>
      </c>
      <c r="J102" s="5">
        <f t="shared" si="36"/>
        <v>4370.5635542600003</v>
      </c>
    </row>
    <row r="103" spans="1:10" ht="30" x14ac:dyDescent="0.25">
      <c r="A103" s="313" t="s">
        <v>20</v>
      </c>
      <c r="B103" s="3">
        <v>89711</v>
      </c>
      <c r="C103" s="333" t="s">
        <v>624</v>
      </c>
      <c r="D103" s="28" t="s">
        <v>782</v>
      </c>
      <c r="E103" s="3" t="s">
        <v>24</v>
      </c>
      <c r="F103" s="4">
        <v>6.89</v>
      </c>
      <c r="G103" s="5">
        <v>20.36</v>
      </c>
      <c r="H103" s="5">
        <f t="shared" si="35"/>
        <v>24.753688</v>
      </c>
      <c r="I103" s="32">
        <f t="shared" si="38"/>
        <v>5.9962313720266846E-5</v>
      </c>
      <c r="J103" s="5">
        <f t="shared" si="34"/>
        <v>170.55291032</v>
      </c>
    </row>
    <row r="104" spans="1:10" ht="30" x14ac:dyDescent="0.25">
      <c r="A104" s="313" t="s">
        <v>20</v>
      </c>
      <c r="B104" s="3">
        <v>89712</v>
      </c>
      <c r="C104" s="333" t="s">
        <v>625</v>
      </c>
      <c r="D104" s="28" t="s">
        <v>783</v>
      </c>
      <c r="E104" s="3" t="s">
        <v>24</v>
      </c>
      <c r="F104" s="4">
        <v>10.59</v>
      </c>
      <c r="G104" s="5">
        <v>31.46</v>
      </c>
      <c r="H104" s="5">
        <f t="shared" si="35"/>
        <v>38.249068000000001</v>
      </c>
      <c r="I104" s="32">
        <f t="shared" si="38"/>
        <v>1.4240855020575442E-4</v>
      </c>
      <c r="J104" s="5">
        <f t="shared" si="34"/>
        <v>405.05763012</v>
      </c>
    </row>
    <row r="105" spans="1:10" ht="30" x14ac:dyDescent="0.25">
      <c r="A105" s="333" t="s">
        <v>20</v>
      </c>
      <c r="B105" s="317">
        <v>90696</v>
      </c>
      <c r="C105" s="333" t="s">
        <v>626</v>
      </c>
      <c r="D105" s="28" t="s">
        <v>808</v>
      </c>
      <c r="E105" s="317" t="s">
        <v>24</v>
      </c>
      <c r="F105" s="4">
        <v>116.4</v>
      </c>
      <c r="G105" s="5">
        <v>145.05000000000001</v>
      </c>
      <c r="H105" s="5">
        <f t="shared" si="35"/>
        <v>176.35179000000002</v>
      </c>
      <c r="I105" s="32">
        <f t="shared" si="38"/>
        <v>7.2169234735324096E-3</v>
      </c>
      <c r="J105" s="5">
        <f t="shared" si="34"/>
        <v>20527.348356000002</v>
      </c>
    </row>
    <row r="106" spans="1:10" x14ac:dyDescent="0.25">
      <c r="A106" s="333" t="s">
        <v>20</v>
      </c>
      <c r="B106" s="317" t="s">
        <v>814</v>
      </c>
      <c r="C106" s="333" t="s">
        <v>627</v>
      </c>
      <c r="D106" s="28" t="str">
        <f>COMPHID!A37</f>
        <v>CURVA PVC, 45 GRAUS, PARA REDE COLETORA DE ESGOTO - FORNECIMENTO E INSTALAÇÃO</v>
      </c>
      <c r="E106" s="317" t="s">
        <v>31</v>
      </c>
      <c r="F106" s="4">
        <v>1</v>
      </c>
      <c r="G106" s="5">
        <f>COMPHID!F44</f>
        <v>589.99210000000005</v>
      </c>
      <c r="H106" s="5">
        <f t="shared" si="35"/>
        <v>717.31239518000007</v>
      </c>
      <c r="I106" s="32">
        <f t="shared" si="38"/>
        <v>2.5218983830014067E-4</v>
      </c>
      <c r="J106" s="5">
        <f t="shared" ref="J106" si="39">H106*F106</f>
        <v>717.31239518000007</v>
      </c>
    </row>
    <row r="107" spans="1:10" ht="30" x14ac:dyDescent="0.25">
      <c r="A107" s="313" t="s">
        <v>20</v>
      </c>
      <c r="B107" s="333">
        <v>103036</v>
      </c>
      <c r="C107" s="333" t="s">
        <v>628</v>
      </c>
      <c r="D107" s="28" t="s">
        <v>816</v>
      </c>
      <c r="E107" s="3" t="s">
        <v>327</v>
      </c>
      <c r="F107" s="4">
        <v>4</v>
      </c>
      <c r="G107" s="5">
        <v>18.989999999999998</v>
      </c>
      <c r="H107" s="5">
        <f t="shared" si="35"/>
        <v>23.088041999999998</v>
      </c>
      <c r="I107" s="32">
        <f t="shared" si="38"/>
        <v>3.2468807831967039E-5</v>
      </c>
      <c r="J107" s="5">
        <f t="shared" si="34"/>
        <v>92.352167999999992</v>
      </c>
    </row>
    <row r="108" spans="1:10" ht="30" x14ac:dyDescent="0.25">
      <c r="A108" s="313" t="s">
        <v>20</v>
      </c>
      <c r="B108" s="333">
        <v>104043</v>
      </c>
      <c r="C108" s="333" t="s">
        <v>629</v>
      </c>
      <c r="D108" s="28" t="s">
        <v>817</v>
      </c>
      <c r="E108" s="3" t="s">
        <v>327</v>
      </c>
      <c r="F108" s="4">
        <v>2</v>
      </c>
      <c r="G108" s="5">
        <v>8.31</v>
      </c>
      <c r="H108" s="5">
        <f t="shared" si="35"/>
        <v>10.103298000000001</v>
      </c>
      <c r="I108" s="32">
        <f t="shared" si="38"/>
        <v>7.1041546362202776E-6</v>
      </c>
      <c r="J108" s="5">
        <f t="shared" ref="J108:J122" si="40">H108*F108</f>
        <v>20.206596000000001</v>
      </c>
    </row>
    <row r="109" spans="1:10" ht="30" x14ac:dyDescent="0.25">
      <c r="A109" s="313" t="s">
        <v>20</v>
      </c>
      <c r="B109" s="333">
        <v>86888</v>
      </c>
      <c r="C109" s="333" t="s">
        <v>630</v>
      </c>
      <c r="D109" s="28" t="s">
        <v>818</v>
      </c>
      <c r="E109" s="3" t="s">
        <v>327</v>
      </c>
      <c r="F109" s="4">
        <v>6</v>
      </c>
      <c r="G109" s="5">
        <v>462.64</v>
      </c>
      <c r="H109" s="5">
        <f t="shared" si="35"/>
        <v>562.477712</v>
      </c>
      <c r="I109" s="32">
        <f t="shared" si="38"/>
        <v>1.1865220580869853E-3</v>
      </c>
      <c r="J109" s="5">
        <f t="shared" si="40"/>
        <v>3374.8662720000002</v>
      </c>
    </row>
    <row r="110" spans="1:10" ht="45" x14ac:dyDescent="0.25">
      <c r="A110" s="313" t="s">
        <v>20</v>
      </c>
      <c r="B110" s="333">
        <v>95472</v>
      </c>
      <c r="C110" s="333" t="s">
        <v>631</v>
      </c>
      <c r="D110" s="28" t="s">
        <v>819</v>
      </c>
      <c r="E110" s="3" t="s">
        <v>327</v>
      </c>
      <c r="F110" s="4">
        <v>1</v>
      </c>
      <c r="G110" s="5">
        <v>735.94</v>
      </c>
      <c r="H110" s="5">
        <f t="shared" si="35"/>
        <v>894.755852</v>
      </c>
      <c r="I110" s="32">
        <f t="shared" si="38"/>
        <v>3.145747029470488E-4</v>
      </c>
      <c r="J110" s="5">
        <f t="shared" si="40"/>
        <v>894.755852</v>
      </c>
    </row>
    <row r="111" spans="1:10" ht="30" x14ac:dyDescent="0.25">
      <c r="A111" s="313" t="s">
        <v>20</v>
      </c>
      <c r="B111" s="3">
        <v>89987</v>
      </c>
      <c r="C111" s="333" t="s">
        <v>632</v>
      </c>
      <c r="D111" s="28" t="s">
        <v>334</v>
      </c>
      <c r="E111" s="3" t="s">
        <v>327</v>
      </c>
      <c r="F111" s="4">
        <v>6</v>
      </c>
      <c r="G111" s="5">
        <v>74.88</v>
      </c>
      <c r="H111" s="5">
        <f t="shared" si="35"/>
        <v>91.039103999999995</v>
      </c>
      <c r="I111" s="32">
        <f t="shared" si="38"/>
        <v>1.9204299608670551E-4</v>
      </c>
      <c r="J111" s="5">
        <f t="shared" si="40"/>
        <v>546.23462399999994</v>
      </c>
    </row>
    <row r="112" spans="1:10" ht="30" x14ac:dyDescent="0.25">
      <c r="A112" s="313" t="s">
        <v>20</v>
      </c>
      <c r="B112" s="333">
        <v>86915</v>
      </c>
      <c r="C112" s="333" t="s">
        <v>633</v>
      </c>
      <c r="D112" s="28" t="s">
        <v>820</v>
      </c>
      <c r="E112" s="3" t="s">
        <v>327</v>
      </c>
      <c r="F112" s="4">
        <v>7</v>
      </c>
      <c r="G112" s="5">
        <v>139.38999999999999</v>
      </c>
      <c r="H112" s="5">
        <f t="shared" si="35"/>
        <v>169.47036199999999</v>
      </c>
      <c r="I112" s="32">
        <f t="shared" si="38"/>
        <v>4.1707200981944712E-4</v>
      </c>
      <c r="J112" s="5">
        <f t="shared" si="40"/>
        <v>1186.2925339999999</v>
      </c>
    </row>
    <row r="113" spans="1:10" ht="30" x14ac:dyDescent="0.25">
      <c r="A113" s="313" t="s">
        <v>20</v>
      </c>
      <c r="B113" s="333">
        <v>100860</v>
      </c>
      <c r="C113" s="333" t="s">
        <v>634</v>
      </c>
      <c r="D113" s="28" t="s">
        <v>821</v>
      </c>
      <c r="E113" s="3" t="s">
        <v>327</v>
      </c>
      <c r="F113" s="4">
        <v>4</v>
      </c>
      <c r="G113" s="5">
        <v>93.33</v>
      </c>
      <c r="H113" s="5">
        <f t="shared" si="35"/>
        <v>113.470614</v>
      </c>
      <c r="I113" s="32">
        <f t="shared" si="38"/>
        <v>1.5957418825473849E-4</v>
      </c>
      <c r="J113" s="5">
        <f t="shared" si="40"/>
        <v>453.88245599999999</v>
      </c>
    </row>
    <row r="114" spans="1:10" ht="30" x14ac:dyDescent="0.25">
      <c r="A114" s="313" t="s">
        <v>20</v>
      </c>
      <c r="B114" s="3">
        <v>94794</v>
      </c>
      <c r="C114" s="333" t="s">
        <v>635</v>
      </c>
      <c r="D114" s="28" t="s">
        <v>335</v>
      </c>
      <c r="E114" s="3" t="s">
        <v>327</v>
      </c>
      <c r="F114" s="4">
        <v>2</v>
      </c>
      <c r="G114" s="5">
        <v>132.51</v>
      </c>
      <c r="H114" s="5">
        <f t="shared" si="35"/>
        <v>161.10565799999998</v>
      </c>
      <c r="I114" s="32">
        <f t="shared" si="38"/>
        <v>1.1328177266492765E-4</v>
      </c>
      <c r="J114" s="5">
        <f t="shared" si="40"/>
        <v>322.21131599999995</v>
      </c>
    </row>
    <row r="115" spans="1:10" ht="30" x14ac:dyDescent="0.25">
      <c r="A115" s="313" t="s">
        <v>20</v>
      </c>
      <c r="B115" s="333">
        <v>104031</v>
      </c>
      <c r="C115" s="333" t="s">
        <v>636</v>
      </c>
      <c r="D115" s="28" t="s">
        <v>822</v>
      </c>
      <c r="E115" s="3" t="s">
        <v>327</v>
      </c>
      <c r="F115" s="4">
        <v>2</v>
      </c>
      <c r="G115" s="5">
        <v>19.77</v>
      </c>
      <c r="H115" s="5">
        <f t="shared" si="35"/>
        <v>24.036366000000001</v>
      </c>
      <c r="I115" s="32">
        <f t="shared" si="38"/>
        <v>1.6901219874617916E-5</v>
      </c>
      <c r="J115" s="5">
        <f t="shared" si="40"/>
        <v>48.072732000000002</v>
      </c>
    </row>
    <row r="116" spans="1:10" ht="30" x14ac:dyDescent="0.25">
      <c r="A116" s="313" t="s">
        <v>20</v>
      </c>
      <c r="B116" s="3">
        <v>86884</v>
      </c>
      <c r="C116" s="333" t="s">
        <v>637</v>
      </c>
      <c r="D116" s="28" t="s">
        <v>336</v>
      </c>
      <c r="E116" s="3" t="s">
        <v>327</v>
      </c>
      <c r="F116" s="4">
        <v>7</v>
      </c>
      <c r="G116" s="5">
        <v>9.9499999999999993</v>
      </c>
      <c r="H116" s="5">
        <f t="shared" si="35"/>
        <v>12.097209999999999</v>
      </c>
      <c r="I116" s="32">
        <f t="shared" si="38"/>
        <v>2.9771622768516379E-5</v>
      </c>
      <c r="J116" s="5">
        <f t="shared" si="40"/>
        <v>84.680469999999985</v>
      </c>
    </row>
    <row r="117" spans="1:10" ht="34.5" customHeight="1" x14ac:dyDescent="0.25">
      <c r="A117" s="313" t="s">
        <v>20</v>
      </c>
      <c r="B117" s="333">
        <v>89376</v>
      </c>
      <c r="C117" s="333" t="s">
        <v>638</v>
      </c>
      <c r="D117" s="28" t="s">
        <v>823</v>
      </c>
      <c r="E117" s="3" t="s">
        <v>327</v>
      </c>
      <c r="F117" s="4">
        <v>12</v>
      </c>
      <c r="G117" s="5">
        <v>5.18</v>
      </c>
      <c r="H117" s="5">
        <f t="shared" si="35"/>
        <v>6.2978439999999996</v>
      </c>
      <c r="I117" s="32">
        <f t="shared" si="38"/>
        <v>2.6570051274816632E-5</v>
      </c>
      <c r="J117" s="5">
        <f t="shared" ref="J117:J121" si="41">H117*F117</f>
        <v>75.574128000000002</v>
      </c>
    </row>
    <row r="118" spans="1:10" ht="44.25" customHeight="1" x14ac:dyDescent="0.25">
      <c r="A118" s="313" t="s">
        <v>20</v>
      </c>
      <c r="B118" s="333">
        <v>94783</v>
      </c>
      <c r="C118" s="333" t="s">
        <v>639</v>
      </c>
      <c r="D118" s="28" t="s">
        <v>824</v>
      </c>
      <c r="E118" s="3" t="s">
        <v>327</v>
      </c>
      <c r="F118" s="4">
        <v>3</v>
      </c>
      <c r="G118" s="5">
        <v>20.54</v>
      </c>
      <c r="H118" s="5">
        <f t="shared" si="35"/>
        <v>24.972531999999998</v>
      </c>
      <c r="I118" s="32">
        <f t="shared" si="38"/>
        <v>2.6339230366058569E-5</v>
      </c>
      <c r="J118" s="5">
        <f t="shared" si="41"/>
        <v>74.917595999999989</v>
      </c>
    </row>
    <row r="119" spans="1:10" ht="49.5" customHeight="1" x14ac:dyDescent="0.25">
      <c r="A119" s="313" t="s">
        <v>20</v>
      </c>
      <c r="B119" s="333">
        <v>94706</v>
      </c>
      <c r="C119" s="333" t="s">
        <v>640</v>
      </c>
      <c r="D119" s="28" t="s">
        <v>825</v>
      </c>
      <c r="E119" s="3" t="s">
        <v>327</v>
      </c>
      <c r="F119" s="4">
        <v>2</v>
      </c>
      <c r="G119" s="5">
        <v>48.2</v>
      </c>
      <c r="H119" s="5">
        <f t="shared" si="35"/>
        <v>58.601560000000006</v>
      </c>
      <c r="I119" s="32">
        <f t="shared" si="38"/>
        <v>4.1205806674586933E-5</v>
      </c>
      <c r="J119" s="5">
        <f t="shared" si="41"/>
        <v>117.20312000000001</v>
      </c>
    </row>
    <row r="120" spans="1:10" ht="45" customHeight="1" x14ac:dyDescent="0.25">
      <c r="A120" s="313" t="s">
        <v>20</v>
      </c>
      <c r="B120" s="333">
        <v>94708</v>
      </c>
      <c r="C120" s="333" t="s">
        <v>641</v>
      </c>
      <c r="D120" s="28" t="s">
        <v>826</v>
      </c>
      <c r="E120" s="3" t="s">
        <v>327</v>
      </c>
      <c r="F120" s="4">
        <v>2</v>
      </c>
      <c r="G120" s="5">
        <v>28.21</v>
      </c>
      <c r="H120" s="5">
        <f t="shared" si="35"/>
        <v>34.297718000000003</v>
      </c>
      <c r="I120" s="32">
        <f t="shared" si="38"/>
        <v>2.4116510503943928E-5</v>
      </c>
      <c r="J120" s="5">
        <f t="shared" si="41"/>
        <v>68.595436000000007</v>
      </c>
    </row>
    <row r="121" spans="1:10" ht="37.5" customHeight="1" x14ac:dyDescent="0.25">
      <c r="A121" s="313" t="s">
        <v>20</v>
      </c>
      <c r="B121" s="333">
        <v>89596</v>
      </c>
      <c r="C121" s="333" t="s">
        <v>642</v>
      </c>
      <c r="D121" s="28" t="s">
        <v>827</v>
      </c>
      <c r="E121" s="3" t="s">
        <v>327</v>
      </c>
      <c r="F121" s="4">
        <v>4</v>
      </c>
      <c r="G121" s="5">
        <v>11.31</v>
      </c>
      <c r="H121" s="5">
        <f t="shared" si="35"/>
        <v>13.750698</v>
      </c>
      <c r="I121" s="32">
        <f t="shared" si="38"/>
        <v>1.9337662800397433E-5</v>
      </c>
      <c r="J121" s="5">
        <f t="shared" si="41"/>
        <v>55.002791999999999</v>
      </c>
    </row>
    <row r="122" spans="1:10" ht="30" x14ac:dyDescent="0.25">
      <c r="A122" s="313" t="s">
        <v>20</v>
      </c>
      <c r="B122" s="3">
        <v>89383</v>
      </c>
      <c r="C122" s="333" t="s">
        <v>643</v>
      </c>
      <c r="D122" s="28" t="s">
        <v>337</v>
      </c>
      <c r="E122" s="3" t="s">
        <v>327</v>
      </c>
      <c r="F122" s="4">
        <v>10</v>
      </c>
      <c r="G122" s="5">
        <v>6.13</v>
      </c>
      <c r="H122" s="5">
        <f t="shared" si="35"/>
        <v>7.4528539999999994</v>
      </c>
      <c r="I122" s="32">
        <f t="shared" si="38"/>
        <v>2.6202447605313055E-5</v>
      </c>
      <c r="J122" s="5">
        <f t="shared" si="40"/>
        <v>74.528539999999992</v>
      </c>
    </row>
    <row r="123" spans="1:10" x14ac:dyDescent="0.25">
      <c r="A123" s="313" t="s">
        <v>20</v>
      </c>
      <c r="B123" s="333">
        <v>6021</v>
      </c>
      <c r="C123" s="333" t="s">
        <v>644</v>
      </c>
      <c r="D123" s="28" t="s">
        <v>828</v>
      </c>
      <c r="E123" s="3" t="s">
        <v>327</v>
      </c>
      <c r="F123" s="4">
        <v>4</v>
      </c>
      <c r="G123" s="5">
        <v>59.94</v>
      </c>
      <c r="H123" s="5">
        <f t="shared" si="35"/>
        <v>72.875051999999997</v>
      </c>
      <c r="I123" s="32">
        <f t="shared" si="38"/>
        <v>1.0248448348857844E-4</v>
      </c>
      <c r="J123" s="5">
        <f t="shared" ref="J123:J127" si="42">H123*F123</f>
        <v>291.50020799999999</v>
      </c>
    </row>
    <row r="124" spans="1:10" x14ac:dyDescent="0.25">
      <c r="A124" s="313" t="s">
        <v>20</v>
      </c>
      <c r="B124" s="333">
        <v>6140</v>
      </c>
      <c r="C124" s="333" t="s">
        <v>645</v>
      </c>
      <c r="D124" s="28" t="s">
        <v>829</v>
      </c>
      <c r="E124" s="3" t="s">
        <v>327</v>
      </c>
      <c r="F124" s="4">
        <v>7</v>
      </c>
      <c r="G124" s="5">
        <v>4.33</v>
      </c>
      <c r="H124" s="5">
        <f t="shared" si="35"/>
        <v>5.2644140000000004</v>
      </c>
      <c r="I124" s="32">
        <f t="shared" ref="I124:I155" si="43">J124/J$225</f>
        <v>1.2955892119364417E-5</v>
      </c>
      <c r="J124" s="5">
        <f t="shared" si="42"/>
        <v>36.850898000000001</v>
      </c>
    </row>
    <row r="125" spans="1:10" x14ac:dyDescent="0.25">
      <c r="A125" s="313" t="s">
        <v>20</v>
      </c>
      <c r="B125" s="333">
        <v>86886</v>
      </c>
      <c r="C125" s="333" t="s">
        <v>646</v>
      </c>
      <c r="D125" s="28" t="s">
        <v>830</v>
      </c>
      <c r="E125" s="3" t="s">
        <v>327</v>
      </c>
      <c r="F125" s="4">
        <v>7</v>
      </c>
      <c r="G125" s="5">
        <v>56.64</v>
      </c>
      <c r="H125" s="5">
        <f t="shared" si="35"/>
        <v>68.862911999999994</v>
      </c>
      <c r="I125" s="32">
        <f t="shared" si="43"/>
        <v>1.6947384056369526E-4</v>
      </c>
      <c r="J125" s="5">
        <f t="shared" si="42"/>
        <v>482.04038399999996</v>
      </c>
    </row>
    <row r="126" spans="1:10" ht="30" x14ac:dyDescent="0.25">
      <c r="A126" s="313" t="s">
        <v>20</v>
      </c>
      <c r="B126" s="333">
        <v>103952</v>
      </c>
      <c r="C126" s="333" t="s">
        <v>647</v>
      </c>
      <c r="D126" s="28" t="s">
        <v>831</v>
      </c>
      <c r="E126" s="3" t="s">
        <v>327</v>
      </c>
      <c r="F126" s="4">
        <v>6</v>
      </c>
      <c r="G126" s="5">
        <v>5.12</v>
      </c>
      <c r="H126" s="5">
        <f t="shared" si="35"/>
        <v>6.2248960000000002</v>
      </c>
      <c r="I126" s="32">
        <f t="shared" si="43"/>
        <v>1.3131145031569609E-5</v>
      </c>
      <c r="J126" s="5">
        <f t="shared" si="42"/>
        <v>37.349375999999999</v>
      </c>
    </row>
    <row r="127" spans="1:10" ht="30" x14ac:dyDescent="0.25">
      <c r="A127" s="313" t="s">
        <v>20</v>
      </c>
      <c r="B127" s="3">
        <v>103966</v>
      </c>
      <c r="C127" s="333" t="s">
        <v>648</v>
      </c>
      <c r="D127" s="28" t="s">
        <v>338</v>
      </c>
      <c r="E127" s="3" t="s">
        <v>327</v>
      </c>
      <c r="F127" s="4">
        <v>6</v>
      </c>
      <c r="G127" s="5">
        <v>10.45</v>
      </c>
      <c r="H127" s="5">
        <f t="shared" si="35"/>
        <v>12.705109999999999</v>
      </c>
      <c r="I127" s="32">
        <f t="shared" si="43"/>
        <v>2.6800872183574692E-5</v>
      </c>
      <c r="J127" s="5">
        <f t="shared" si="42"/>
        <v>76.23066</v>
      </c>
    </row>
    <row r="128" spans="1:10" ht="30" x14ac:dyDescent="0.25">
      <c r="A128" s="313" t="s">
        <v>20</v>
      </c>
      <c r="B128" s="333">
        <v>89374</v>
      </c>
      <c r="C128" s="333" t="s">
        <v>649</v>
      </c>
      <c r="D128" s="28" t="s">
        <v>832</v>
      </c>
      <c r="E128" s="3" t="s">
        <v>327</v>
      </c>
      <c r="F128" s="4">
        <v>4</v>
      </c>
      <c r="G128" s="5">
        <v>11.03</v>
      </c>
      <c r="H128" s="5">
        <f t="shared" si="35"/>
        <v>13.410273999999999</v>
      </c>
      <c r="I128" s="32">
        <f t="shared" si="43"/>
        <v>1.8858923137788123E-5</v>
      </c>
      <c r="J128" s="5">
        <f t="shared" si="34"/>
        <v>53.641095999999997</v>
      </c>
    </row>
    <row r="129" spans="1:10" ht="30" x14ac:dyDescent="0.25">
      <c r="A129" s="313" t="s">
        <v>20</v>
      </c>
      <c r="B129" s="333">
        <v>89394</v>
      </c>
      <c r="C129" s="333" t="s">
        <v>650</v>
      </c>
      <c r="D129" s="28" t="s">
        <v>833</v>
      </c>
      <c r="E129" s="3" t="s">
        <v>327</v>
      </c>
      <c r="F129" s="4">
        <v>4</v>
      </c>
      <c r="G129" s="5">
        <v>20.96</v>
      </c>
      <c r="H129" s="5">
        <f t="shared" si="35"/>
        <v>25.483167999999999</v>
      </c>
      <c r="I129" s="32">
        <f t="shared" si="43"/>
        <v>3.5837083315325392E-5</v>
      </c>
      <c r="J129" s="5">
        <f t="shared" ref="J129:J131" si="44">H129*F129</f>
        <v>101.932672</v>
      </c>
    </row>
    <row r="130" spans="1:10" x14ac:dyDescent="0.25">
      <c r="A130" s="313" t="s">
        <v>20</v>
      </c>
      <c r="B130" s="333">
        <v>7104</v>
      </c>
      <c r="C130" s="333" t="s">
        <v>651</v>
      </c>
      <c r="D130" s="28" t="s">
        <v>834</v>
      </c>
      <c r="E130" s="3" t="s">
        <v>327</v>
      </c>
      <c r="F130" s="4">
        <v>6</v>
      </c>
      <c r="G130" s="5">
        <v>4.33</v>
      </c>
      <c r="H130" s="5">
        <f t="shared" si="35"/>
        <v>5.2644140000000004</v>
      </c>
      <c r="I130" s="32">
        <f t="shared" si="43"/>
        <v>1.1105050388026643E-5</v>
      </c>
      <c r="J130" s="5">
        <f t="shared" si="44"/>
        <v>31.586484000000002</v>
      </c>
    </row>
    <row r="131" spans="1:10" x14ac:dyDescent="0.25">
      <c r="A131" s="313" t="s">
        <v>20</v>
      </c>
      <c r="B131" s="333">
        <v>7138</v>
      </c>
      <c r="C131" s="333" t="s">
        <v>652</v>
      </c>
      <c r="D131" s="28" t="s">
        <v>835</v>
      </c>
      <c r="E131" s="3" t="s">
        <v>327</v>
      </c>
      <c r="F131" s="4">
        <v>1</v>
      </c>
      <c r="G131" s="5">
        <v>1.26</v>
      </c>
      <c r="H131" s="5">
        <f t="shared" si="35"/>
        <v>1.531908</v>
      </c>
      <c r="I131" s="32">
        <f t="shared" si="43"/>
        <v>5.385821204354723E-7</v>
      </c>
      <c r="J131" s="5">
        <f t="shared" si="44"/>
        <v>1.531908</v>
      </c>
    </row>
    <row r="132" spans="1:10" x14ac:dyDescent="0.25">
      <c r="A132" s="313" t="s">
        <v>20</v>
      </c>
      <c r="B132" s="333">
        <v>7142</v>
      </c>
      <c r="C132" s="333" t="s">
        <v>653</v>
      </c>
      <c r="D132" s="28" t="s">
        <v>836</v>
      </c>
      <c r="E132" s="3" t="s">
        <v>327</v>
      </c>
      <c r="F132" s="4">
        <v>4</v>
      </c>
      <c r="G132" s="5">
        <v>13.41</v>
      </c>
      <c r="H132" s="5">
        <f t="shared" si="35"/>
        <v>16.303878000000001</v>
      </c>
      <c r="I132" s="32">
        <f t="shared" si="43"/>
        <v>2.2928210269967251E-5</v>
      </c>
      <c r="J132" s="5">
        <f t="shared" ref="J132:J136" si="45">H132*F132</f>
        <v>65.215512000000004</v>
      </c>
    </row>
    <row r="133" spans="1:10" ht="30" x14ac:dyDescent="0.25">
      <c r="A133" s="313" t="s">
        <v>20</v>
      </c>
      <c r="B133" s="333">
        <v>89358</v>
      </c>
      <c r="C133" s="333" t="s">
        <v>654</v>
      </c>
      <c r="D133" s="28" t="s">
        <v>837</v>
      </c>
      <c r="E133" s="3" t="s">
        <v>327</v>
      </c>
      <c r="F133" s="4">
        <v>10</v>
      </c>
      <c r="G133" s="5">
        <v>6.99</v>
      </c>
      <c r="H133" s="5">
        <f t="shared" si="35"/>
        <v>8.4984420000000007</v>
      </c>
      <c r="I133" s="32">
        <f t="shared" si="43"/>
        <v>2.9878484300348818E-5</v>
      </c>
      <c r="J133" s="5">
        <f t="shared" si="45"/>
        <v>84.98442</v>
      </c>
    </row>
    <row r="134" spans="1:10" ht="30" x14ac:dyDescent="0.25">
      <c r="A134" s="313" t="s">
        <v>20</v>
      </c>
      <c r="B134" s="3">
        <v>89362</v>
      </c>
      <c r="C134" s="333" t="s">
        <v>655</v>
      </c>
      <c r="D134" s="28" t="s">
        <v>339</v>
      </c>
      <c r="E134" s="3" t="s">
        <v>327</v>
      </c>
      <c r="F134" s="4">
        <v>2</v>
      </c>
      <c r="G134" s="5">
        <v>8.4700000000000006</v>
      </c>
      <c r="H134" s="5">
        <f t="shared" si="35"/>
        <v>10.297826000000001</v>
      </c>
      <c r="I134" s="32">
        <f t="shared" si="43"/>
        <v>7.2409373969657947E-6</v>
      </c>
      <c r="J134" s="5">
        <f t="shared" si="45"/>
        <v>20.595652000000001</v>
      </c>
    </row>
    <row r="135" spans="1:10" x14ac:dyDescent="0.25">
      <c r="A135" s="313" t="s">
        <v>20</v>
      </c>
      <c r="B135" s="3">
        <v>89501</v>
      </c>
      <c r="C135" s="333" t="s">
        <v>656</v>
      </c>
      <c r="D135" s="28" t="s">
        <v>340</v>
      </c>
      <c r="E135" s="3" t="s">
        <v>327</v>
      </c>
      <c r="F135" s="4">
        <v>2</v>
      </c>
      <c r="G135" s="5">
        <v>15.83</v>
      </c>
      <c r="H135" s="5">
        <f t="shared" si="35"/>
        <v>19.246113999999999</v>
      </c>
      <c r="I135" s="32">
        <f t="shared" si="43"/>
        <v>1.3532944391259564E-5</v>
      </c>
      <c r="J135" s="5">
        <f t="shared" si="45"/>
        <v>38.492227999999997</v>
      </c>
    </row>
    <row r="136" spans="1:10" ht="30" x14ac:dyDescent="0.25">
      <c r="A136" s="313" t="s">
        <v>20</v>
      </c>
      <c r="B136" s="333">
        <v>89359</v>
      </c>
      <c r="C136" s="333" t="s">
        <v>657</v>
      </c>
      <c r="D136" s="28" t="s">
        <v>838</v>
      </c>
      <c r="E136" s="3" t="s">
        <v>327</v>
      </c>
      <c r="F136" s="4">
        <v>3</v>
      </c>
      <c r="G136" s="5">
        <v>7.47</v>
      </c>
      <c r="H136" s="5">
        <f t="shared" si="35"/>
        <v>9.082025999999999</v>
      </c>
      <c r="I136" s="32">
        <f t="shared" si="43"/>
        <v>9.5790677134594709E-6</v>
      </c>
      <c r="J136" s="5">
        <f t="shared" si="45"/>
        <v>27.246077999999997</v>
      </c>
    </row>
    <row r="137" spans="1:10" ht="30" x14ac:dyDescent="0.25">
      <c r="A137" s="313" t="s">
        <v>20</v>
      </c>
      <c r="B137" s="333">
        <v>3515</v>
      </c>
      <c r="C137" s="333" t="s">
        <v>658</v>
      </c>
      <c r="D137" s="28" t="s">
        <v>839</v>
      </c>
      <c r="E137" s="3" t="s">
        <v>327</v>
      </c>
      <c r="F137" s="4">
        <v>7</v>
      </c>
      <c r="G137" s="5">
        <v>7.54</v>
      </c>
      <c r="H137" s="5">
        <f t="shared" si="35"/>
        <v>9.1671320000000005</v>
      </c>
      <c r="I137" s="32">
        <f t="shared" si="43"/>
        <v>2.2560606600463674E-5</v>
      </c>
      <c r="J137" s="5">
        <f t="shared" ref="J137:J142" si="46">H137*F137</f>
        <v>64.169924000000009</v>
      </c>
    </row>
    <row r="138" spans="1:10" ht="30" x14ac:dyDescent="0.25">
      <c r="A138" s="313" t="s">
        <v>20</v>
      </c>
      <c r="B138" s="333">
        <v>89446</v>
      </c>
      <c r="C138" s="333" t="s">
        <v>744</v>
      </c>
      <c r="D138" s="28" t="s">
        <v>840</v>
      </c>
      <c r="E138" s="3" t="s">
        <v>117</v>
      </c>
      <c r="F138" s="4">
        <v>14.86</v>
      </c>
      <c r="G138" s="5">
        <v>5.96</v>
      </c>
      <c r="H138" s="5">
        <f t="shared" si="35"/>
        <v>7.2461679999999999</v>
      </c>
      <c r="I138" s="32">
        <f t="shared" si="43"/>
        <v>3.7857022734634813E-5</v>
      </c>
      <c r="J138" s="5">
        <f t="shared" si="46"/>
        <v>107.67805648</v>
      </c>
    </row>
    <row r="139" spans="1:10" x14ac:dyDescent="0.25">
      <c r="A139" s="313" t="s">
        <v>20</v>
      </c>
      <c r="B139" s="3">
        <v>89449</v>
      </c>
      <c r="C139" s="333" t="s">
        <v>745</v>
      </c>
      <c r="D139" s="28" t="s">
        <v>341</v>
      </c>
      <c r="E139" s="3" t="s">
        <v>117</v>
      </c>
      <c r="F139" s="4">
        <v>17.190000000000001</v>
      </c>
      <c r="G139" s="5">
        <v>20.77</v>
      </c>
      <c r="H139" s="5">
        <f t="shared" si="35"/>
        <v>25.252165999999999</v>
      </c>
      <c r="I139" s="32">
        <f t="shared" si="43"/>
        <v>1.5261378375113922E-4</v>
      </c>
      <c r="J139" s="5">
        <f t="shared" si="46"/>
        <v>434.08473354</v>
      </c>
    </row>
    <row r="140" spans="1:10" ht="30" x14ac:dyDescent="0.25">
      <c r="A140" s="313" t="s">
        <v>20</v>
      </c>
      <c r="B140" s="333">
        <v>89401</v>
      </c>
      <c r="C140" s="333" t="s">
        <v>746</v>
      </c>
      <c r="D140" s="28" t="s">
        <v>841</v>
      </c>
      <c r="E140" s="3" t="s">
        <v>117</v>
      </c>
      <c r="F140" s="4">
        <f>25.99+20.53</f>
        <v>46.519999999999996</v>
      </c>
      <c r="G140" s="5">
        <v>9.66</v>
      </c>
      <c r="H140" s="5">
        <f t="shared" si="35"/>
        <v>11.744628000000001</v>
      </c>
      <c r="I140" s="32">
        <f t="shared" si="43"/>
        <v>1.9208710852704596E-4</v>
      </c>
      <c r="J140" s="5">
        <f t="shared" si="46"/>
        <v>546.36009455999999</v>
      </c>
    </row>
    <row r="141" spans="1:10" x14ac:dyDescent="0.25">
      <c r="A141" s="313" t="s">
        <v>20</v>
      </c>
      <c r="B141" s="3">
        <v>89627</v>
      </c>
      <c r="C141" s="333" t="s">
        <v>747</v>
      </c>
      <c r="D141" s="28" t="s">
        <v>342</v>
      </c>
      <c r="E141" s="3" t="s">
        <v>327</v>
      </c>
      <c r="F141" s="4">
        <v>2</v>
      </c>
      <c r="G141" s="5">
        <v>20.59</v>
      </c>
      <c r="H141" s="5">
        <f t="shared" si="35"/>
        <v>25.033321999999998</v>
      </c>
      <c r="I141" s="32">
        <f t="shared" si="43"/>
        <v>1.7602231523438688E-5</v>
      </c>
      <c r="J141" s="5">
        <f t="shared" si="46"/>
        <v>50.066643999999997</v>
      </c>
    </row>
    <row r="142" spans="1:10" x14ac:dyDescent="0.25">
      <c r="A142" s="313" t="s">
        <v>20</v>
      </c>
      <c r="B142" s="333">
        <v>96853</v>
      </c>
      <c r="C142" s="333" t="s">
        <v>748</v>
      </c>
      <c r="D142" s="28" t="s">
        <v>842</v>
      </c>
      <c r="E142" s="3" t="s">
        <v>327</v>
      </c>
      <c r="F142" s="4">
        <v>7</v>
      </c>
      <c r="G142" s="5">
        <v>23.89</v>
      </c>
      <c r="H142" s="5">
        <f t="shared" si="35"/>
        <v>29.045462000000001</v>
      </c>
      <c r="I142" s="32">
        <f t="shared" si="43"/>
        <v>7.1481815873352414E-5</v>
      </c>
      <c r="J142" s="5">
        <f t="shared" si="46"/>
        <v>203.31823400000002</v>
      </c>
    </row>
    <row r="143" spans="1:10" x14ac:dyDescent="0.25">
      <c r="A143" s="16"/>
      <c r="B143" s="16"/>
      <c r="C143" s="61" t="s">
        <v>376</v>
      </c>
      <c r="D143" s="16" t="s">
        <v>109</v>
      </c>
      <c r="E143" s="16"/>
      <c r="F143" s="16"/>
      <c r="G143" s="16"/>
      <c r="H143" s="16"/>
      <c r="I143" s="23">
        <f>(J143/J$225)</f>
        <v>7.0627990890120618E-2</v>
      </c>
      <c r="J143" s="11">
        <f>SUM(J144:J216)</f>
        <v>200889.6696775248</v>
      </c>
    </row>
    <row r="144" spans="1:10" ht="30" x14ac:dyDescent="0.25">
      <c r="A144" s="313" t="s">
        <v>20</v>
      </c>
      <c r="B144" s="3">
        <v>91940</v>
      </c>
      <c r="C144" s="313" t="s">
        <v>665</v>
      </c>
      <c r="D144" s="111" t="s">
        <v>119</v>
      </c>
      <c r="E144" s="3" t="s">
        <v>31</v>
      </c>
      <c r="F144" s="4">
        <v>53</v>
      </c>
      <c r="G144" s="5">
        <v>13.28</v>
      </c>
      <c r="H144" s="5">
        <f>G144*1.2158</f>
        <v>16.145823999999998</v>
      </c>
      <c r="I144" s="32">
        <f t="shared" ref="I144:I175" si="47">J144/J$225</f>
        <v>3.0085368225976411E-4</v>
      </c>
      <c r="J144" s="5">
        <f t="shared" ref="J144:J216" si="48">H144*F144</f>
        <v>855.72867199999985</v>
      </c>
    </row>
    <row r="145" spans="1:10" ht="30" x14ac:dyDescent="0.25">
      <c r="A145" s="313" t="s">
        <v>20</v>
      </c>
      <c r="B145" s="3">
        <v>91941</v>
      </c>
      <c r="C145" s="313" t="s">
        <v>666</v>
      </c>
      <c r="D145" s="111" t="s">
        <v>526</v>
      </c>
      <c r="E145" s="3" t="s">
        <v>31</v>
      </c>
      <c r="F145" s="4">
        <v>116</v>
      </c>
      <c r="G145" s="5">
        <v>8.94</v>
      </c>
      <c r="H145" s="5">
        <f t="shared" ref="H145:H208" si="49">G145*1.2158</f>
        <v>10.869251999999999</v>
      </c>
      <c r="I145" s="32">
        <f t="shared" si="47"/>
        <v>4.4327873188603346E-4</v>
      </c>
      <c r="J145" s="5">
        <f t="shared" si="48"/>
        <v>1260.833232</v>
      </c>
    </row>
    <row r="146" spans="1:10" ht="30" x14ac:dyDescent="0.25">
      <c r="A146" s="313" t="s">
        <v>20</v>
      </c>
      <c r="B146" s="3">
        <v>91939</v>
      </c>
      <c r="C146" s="313" t="s">
        <v>667</v>
      </c>
      <c r="D146" s="111" t="s">
        <v>527</v>
      </c>
      <c r="E146" s="3" t="s">
        <v>31</v>
      </c>
      <c r="F146" s="4">
        <v>42</v>
      </c>
      <c r="G146" s="5">
        <v>24.82</v>
      </c>
      <c r="H146" s="5">
        <f t="shared" si="49"/>
        <v>30.176155999999999</v>
      </c>
      <c r="I146" s="32">
        <f t="shared" si="47"/>
        <v>4.4558694097361401E-4</v>
      </c>
      <c r="J146" s="5">
        <f t="shared" si="48"/>
        <v>1267.3985519999999</v>
      </c>
    </row>
    <row r="147" spans="1:10" ht="30" x14ac:dyDescent="0.25">
      <c r="A147" s="313" t="s">
        <v>20</v>
      </c>
      <c r="B147" s="3">
        <v>91919</v>
      </c>
      <c r="C147" s="313" t="s">
        <v>668</v>
      </c>
      <c r="D147" s="111" t="s">
        <v>528</v>
      </c>
      <c r="E147" s="3" t="s">
        <v>31</v>
      </c>
      <c r="F147" s="4">
        <v>2</v>
      </c>
      <c r="G147" s="5">
        <v>17.23</v>
      </c>
      <c r="H147" s="5">
        <f t="shared" si="49"/>
        <v>20.948233999999999</v>
      </c>
      <c r="I147" s="32">
        <f t="shared" si="47"/>
        <v>1.4729793547782836E-5</v>
      </c>
      <c r="J147" s="5">
        <f t="shared" si="48"/>
        <v>41.896467999999999</v>
      </c>
    </row>
    <row r="148" spans="1:10" ht="30" x14ac:dyDescent="0.25">
      <c r="A148" s="313" t="s">
        <v>20</v>
      </c>
      <c r="B148" s="3" t="s">
        <v>94</v>
      </c>
      <c r="C148" s="313" t="s">
        <v>669</v>
      </c>
      <c r="D148" s="111" t="str">
        <f>COMPELE!A58</f>
        <v>CURVA 180 GRAUS PARA ELETRODUTO, PVC, ROSCÁVEL, DN 50 MM (1.1/2"), PARA CIRCUITOS TERMINAIS, INSTALADA EM PAREDE - FORNECIMENTO E INSTALAÇÃO. AF_12/2015</v>
      </c>
      <c r="E148" s="3" t="s">
        <v>31</v>
      </c>
      <c r="F148" s="4">
        <v>2</v>
      </c>
      <c r="G148" s="5">
        <f>COMPELE!F63</f>
        <v>23.831060000000001</v>
      </c>
      <c r="H148" s="5">
        <f t="shared" si="49"/>
        <v>28.973802748000001</v>
      </c>
      <c r="I148" s="32">
        <f t="shared" si="47"/>
        <v>2.0372988614325343E-5</v>
      </c>
      <c r="J148" s="5">
        <f t="shared" si="48"/>
        <v>57.947605496000001</v>
      </c>
    </row>
    <row r="149" spans="1:10" ht="30" customHeight="1" x14ac:dyDescent="0.25">
      <c r="A149" s="313" t="s">
        <v>20</v>
      </c>
      <c r="B149" s="3">
        <v>91914</v>
      </c>
      <c r="C149" s="313" t="s">
        <v>670</v>
      </c>
      <c r="D149" s="307" t="s">
        <v>529</v>
      </c>
      <c r="E149" s="3" t="s">
        <v>31</v>
      </c>
      <c r="F149" s="4">
        <v>5</v>
      </c>
      <c r="G149" s="5">
        <v>15.4</v>
      </c>
      <c r="H149" s="5">
        <f t="shared" si="49"/>
        <v>18.723320000000001</v>
      </c>
      <c r="I149" s="32">
        <f t="shared" si="47"/>
        <v>3.2913351804389976E-5</v>
      </c>
      <c r="J149" s="5">
        <f t="shared" si="48"/>
        <v>93.616600000000005</v>
      </c>
    </row>
    <row r="150" spans="1:10" ht="30" customHeight="1" x14ac:dyDescent="0.25">
      <c r="A150" s="313" t="s">
        <v>20</v>
      </c>
      <c r="B150" s="3">
        <v>93018</v>
      </c>
      <c r="C150" s="313" t="s">
        <v>671</v>
      </c>
      <c r="D150" s="307" t="s">
        <v>530</v>
      </c>
      <c r="E150" s="3" t="s">
        <v>31</v>
      </c>
      <c r="F150" s="4">
        <v>5</v>
      </c>
      <c r="G150" s="5">
        <v>19.5</v>
      </c>
      <c r="H150" s="5">
        <f t="shared" si="49"/>
        <v>23.708099999999998</v>
      </c>
      <c r="I150" s="32">
        <f t="shared" si="47"/>
        <v>4.1675997414649642E-5</v>
      </c>
      <c r="J150" s="5">
        <f t="shared" si="48"/>
        <v>118.54049999999999</v>
      </c>
    </row>
    <row r="151" spans="1:10" ht="30" x14ac:dyDescent="0.25">
      <c r="A151" s="313" t="s">
        <v>20</v>
      </c>
      <c r="B151" s="3">
        <v>91885</v>
      </c>
      <c r="C151" s="313" t="s">
        <v>672</v>
      </c>
      <c r="D151" s="111" t="s">
        <v>325</v>
      </c>
      <c r="E151" s="3" t="s">
        <v>31</v>
      </c>
      <c r="F151" s="4">
        <v>8</v>
      </c>
      <c r="G151" s="5">
        <v>9.24</v>
      </c>
      <c r="H151" s="5">
        <f t="shared" si="49"/>
        <v>11.233992000000001</v>
      </c>
      <c r="I151" s="32">
        <f t="shared" si="47"/>
        <v>3.1596817732214374E-5</v>
      </c>
      <c r="J151" s="5">
        <f t="shared" si="48"/>
        <v>89.871936000000005</v>
      </c>
    </row>
    <row r="152" spans="1:10" ht="30" x14ac:dyDescent="0.25">
      <c r="A152" s="313" t="s">
        <v>20</v>
      </c>
      <c r="B152" s="3">
        <v>93013</v>
      </c>
      <c r="C152" s="313" t="s">
        <v>673</v>
      </c>
      <c r="D152" s="111" t="s">
        <v>531</v>
      </c>
      <c r="E152" s="3" t="s">
        <v>31</v>
      </c>
      <c r="F152" s="4">
        <v>8</v>
      </c>
      <c r="G152" s="5">
        <v>12.77</v>
      </c>
      <c r="H152" s="5">
        <f t="shared" si="49"/>
        <v>15.525765999999999</v>
      </c>
      <c r="I152" s="32">
        <f t="shared" si="47"/>
        <v>4.3667896368006229E-5</v>
      </c>
      <c r="J152" s="5">
        <f t="shared" si="48"/>
        <v>124.20612799999999</v>
      </c>
    </row>
    <row r="153" spans="1:10" ht="30" x14ac:dyDescent="0.25">
      <c r="A153" s="313" t="s">
        <v>20</v>
      </c>
      <c r="B153" s="3" t="s">
        <v>797</v>
      </c>
      <c r="C153" s="313" t="s">
        <v>674</v>
      </c>
      <c r="D153" s="111" t="str">
        <f>COMPELE!A67</f>
        <v>LUVA PARA ELETRODUTO, EM ACO GALVANIZADO ELETROLITICO, DIAMETRO DE 100 MM (4") - INSTALAÇÃO E FORNECIMENTO</v>
      </c>
      <c r="E153" s="3" t="s">
        <v>31</v>
      </c>
      <c r="F153" s="4">
        <v>2</v>
      </c>
      <c r="G153" s="5">
        <f>COMPELE!F72</f>
        <v>49.439439999999998</v>
      </c>
      <c r="H153" s="5">
        <f t="shared" si="49"/>
        <v>60.108471152</v>
      </c>
      <c r="I153" s="32">
        <f t="shared" si="47"/>
        <v>4.2265394330702073E-5</v>
      </c>
      <c r="J153" s="5">
        <f t="shared" si="48"/>
        <v>120.216942304</v>
      </c>
    </row>
    <row r="154" spans="1:10" x14ac:dyDescent="0.25">
      <c r="A154" s="313" t="s">
        <v>20</v>
      </c>
      <c r="B154" s="3">
        <v>404</v>
      </c>
      <c r="C154" s="313" t="s">
        <v>675</v>
      </c>
      <c r="D154" s="111" t="s">
        <v>116</v>
      </c>
      <c r="E154" s="3" t="s">
        <v>24</v>
      </c>
      <c r="F154" s="4">
        <v>40</v>
      </c>
      <c r="G154" s="5">
        <v>1.33</v>
      </c>
      <c r="H154" s="5">
        <f t="shared" si="49"/>
        <v>1.6170140000000002</v>
      </c>
      <c r="I154" s="32">
        <f t="shared" si="47"/>
        <v>2.2740133973942169E-5</v>
      </c>
      <c r="J154" s="5">
        <f t="shared" si="48"/>
        <v>64.680560000000014</v>
      </c>
    </row>
    <row r="155" spans="1:10" ht="30" x14ac:dyDescent="0.25">
      <c r="A155" s="313" t="s">
        <v>20</v>
      </c>
      <c r="B155" s="3">
        <v>91927</v>
      </c>
      <c r="C155" s="313" t="s">
        <v>676</v>
      </c>
      <c r="D155" s="111" t="s">
        <v>120</v>
      </c>
      <c r="E155" s="3" t="s">
        <v>117</v>
      </c>
      <c r="F155" s="4">
        <v>5612.2</v>
      </c>
      <c r="G155" s="5">
        <v>5.05</v>
      </c>
      <c r="H155" s="5">
        <f t="shared" si="49"/>
        <v>6.1397899999999996</v>
      </c>
      <c r="I155" s="32">
        <f t="shared" si="47"/>
        <v>1.2114511436789828E-2</v>
      </c>
      <c r="J155" s="5">
        <f t="shared" si="48"/>
        <v>34457.729437999995</v>
      </c>
    </row>
    <row r="156" spans="1:10" ht="30" x14ac:dyDescent="0.25">
      <c r="A156" s="313" t="s">
        <v>20</v>
      </c>
      <c r="B156" s="3">
        <v>91929</v>
      </c>
      <c r="C156" s="313" t="s">
        <v>677</v>
      </c>
      <c r="D156" s="111" t="s">
        <v>121</v>
      </c>
      <c r="E156" s="3" t="s">
        <v>24</v>
      </c>
      <c r="F156" s="4">
        <v>64.900000000000006</v>
      </c>
      <c r="G156" s="5">
        <v>7.08</v>
      </c>
      <c r="H156" s="5">
        <f t="shared" si="49"/>
        <v>8.6078639999999993</v>
      </c>
      <c r="I156" s="32">
        <f t="shared" si="47"/>
        <v>1.9640807593899684E-4</v>
      </c>
      <c r="J156" s="5">
        <f t="shared" si="48"/>
        <v>558.65037359999997</v>
      </c>
    </row>
    <row r="157" spans="1:10" ht="30" x14ac:dyDescent="0.25">
      <c r="A157" s="313" t="s">
        <v>20</v>
      </c>
      <c r="B157" s="3">
        <v>91933</v>
      </c>
      <c r="C157" s="313" t="s">
        <v>678</v>
      </c>
      <c r="D157" s="111" t="s">
        <v>320</v>
      </c>
      <c r="E157" s="3" t="s">
        <v>24</v>
      </c>
      <c r="F157" s="4">
        <v>325.60000000000002</v>
      </c>
      <c r="G157" s="5">
        <v>15.07</v>
      </c>
      <c r="H157" s="5">
        <f t="shared" si="49"/>
        <v>18.322106000000002</v>
      </c>
      <c r="I157" s="32">
        <f t="shared" si="47"/>
        <v>2.0973892380125496E-3</v>
      </c>
      <c r="J157" s="5">
        <f t="shared" si="48"/>
        <v>5965.677713600001</v>
      </c>
    </row>
    <row r="158" spans="1:10" ht="30" x14ac:dyDescent="0.25">
      <c r="A158" s="313" t="s">
        <v>20</v>
      </c>
      <c r="B158" s="3">
        <v>91935</v>
      </c>
      <c r="C158" s="313" t="s">
        <v>679</v>
      </c>
      <c r="D158" s="111" t="s">
        <v>532</v>
      </c>
      <c r="E158" s="3" t="s">
        <v>24</v>
      </c>
      <c r="F158" s="4">
        <v>1746.04</v>
      </c>
      <c r="G158" s="5">
        <v>22.97</v>
      </c>
      <c r="H158" s="5">
        <f t="shared" si="49"/>
        <v>27.926925999999998</v>
      </c>
      <c r="I158" s="32">
        <f t="shared" si="47"/>
        <v>1.7143384690659954E-2</v>
      </c>
      <c r="J158" s="5">
        <f t="shared" si="48"/>
        <v>48761.529873039995</v>
      </c>
    </row>
    <row r="159" spans="1:10" ht="30" x14ac:dyDescent="0.25">
      <c r="A159" s="313" t="s">
        <v>20</v>
      </c>
      <c r="B159" s="3">
        <v>92984</v>
      </c>
      <c r="C159" s="313" t="s">
        <v>680</v>
      </c>
      <c r="D159" s="111" t="s">
        <v>533</v>
      </c>
      <c r="E159" s="3" t="s">
        <v>24</v>
      </c>
      <c r="F159" s="4">
        <v>390</v>
      </c>
      <c r="G159" s="5">
        <v>26.07</v>
      </c>
      <c r="H159" s="5">
        <f t="shared" si="49"/>
        <v>31.695906000000001</v>
      </c>
      <c r="I159" s="32">
        <f t="shared" si="47"/>
        <v>4.345973010399665E-3</v>
      </c>
      <c r="J159" s="5">
        <f t="shared" si="48"/>
        <v>12361.403340000001</v>
      </c>
    </row>
    <row r="160" spans="1:10" ht="30" x14ac:dyDescent="0.25">
      <c r="A160" s="313" t="s">
        <v>20</v>
      </c>
      <c r="B160" s="3">
        <v>92986</v>
      </c>
      <c r="C160" s="313" t="s">
        <v>681</v>
      </c>
      <c r="D160" s="111" t="s">
        <v>534</v>
      </c>
      <c r="E160" s="3" t="s">
        <v>24</v>
      </c>
      <c r="F160" s="4">
        <v>315.7</v>
      </c>
      <c r="G160" s="5">
        <v>35.270000000000003</v>
      </c>
      <c r="H160" s="5">
        <f t="shared" si="49"/>
        <v>42.881266000000004</v>
      </c>
      <c r="I160" s="32">
        <f t="shared" si="47"/>
        <v>4.7595010643774211E-3</v>
      </c>
      <c r="J160" s="5">
        <f t="shared" si="48"/>
        <v>13537.615676200001</v>
      </c>
    </row>
    <row r="161" spans="1:10" ht="30" x14ac:dyDescent="0.25">
      <c r="A161" s="313" t="s">
        <v>20</v>
      </c>
      <c r="B161" s="3">
        <v>92988</v>
      </c>
      <c r="C161" s="313" t="s">
        <v>682</v>
      </c>
      <c r="D161" s="111" t="s">
        <v>535</v>
      </c>
      <c r="E161" s="3" t="s">
        <v>24</v>
      </c>
      <c r="F161" s="4">
        <v>3.3</v>
      </c>
      <c r="G161" s="5">
        <v>49.66</v>
      </c>
      <c r="H161" s="5">
        <f t="shared" si="49"/>
        <v>60.376627999999997</v>
      </c>
      <c r="I161" s="32">
        <f t="shared" si="47"/>
        <v>7.0049016454543111E-5</v>
      </c>
      <c r="J161" s="5">
        <f t="shared" si="48"/>
        <v>199.24287239999998</v>
      </c>
    </row>
    <row r="162" spans="1:10" ht="30" x14ac:dyDescent="0.25">
      <c r="A162" s="313" t="s">
        <v>20</v>
      </c>
      <c r="B162" s="3">
        <v>92992</v>
      </c>
      <c r="C162" s="313" t="s">
        <v>683</v>
      </c>
      <c r="D162" s="111" t="s">
        <v>536</v>
      </c>
      <c r="E162" s="3" t="s">
        <v>24</v>
      </c>
      <c r="F162" s="4">
        <v>12.9</v>
      </c>
      <c r="G162" s="5">
        <v>90.1</v>
      </c>
      <c r="H162" s="5">
        <f t="shared" si="49"/>
        <v>109.54357999999999</v>
      </c>
      <c r="I162" s="32">
        <f t="shared" si="47"/>
        <v>4.9681635933408329E-4</v>
      </c>
      <c r="J162" s="5">
        <f t="shared" si="48"/>
        <v>1413.1121819999998</v>
      </c>
    </row>
    <row r="163" spans="1:10" ht="30" x14ac:dyDescent="0.25">
      <c r="A163" s="313" t="s">
        <v>20</v>
      </c>
      <c r="B163" s="3">
        <v>100556</v>
      </c>
      <c r="C163" s="313" t="s">
        <v>684</v>
      </c>
      <c r="D163" s="111" t="s">
        <v>537</v>
      </c>
      <c r="E163" s="3" t="s">
        <v>31</v>
      </c>
      <c r="F163" s="4">
        <v>18</v>
      </c>
      <c r="G163" s="5">
        <v>48.88</v>
      </c>
      <c r="H163" s="5">
        <f t="shared" si="49"/>
        <v>59.428304000000004</v>
      </c>
      <c r="I163" s="32">
        <f t="shared" si="47"/>
        <v>3.7608420066979838E-4</v>
      </c>
      <c r="J163" s="5">
        <f t="shared" si="48"/>
        <v>1069.709472</v>
      </c>
    </row>
    <row r="164" spans="1:10" ht="30" x14ac:dyDescent="0.25">
      <c r="A164" s="313" t="s">
        <v>20</v>
      </c>
      <c r="B164" s="3">
        <v>91997</v>
      </c>
      <c r="C164" s="313" t="s">
        <v>686</v>
      </c>
      <c r="D164" s="111" t="s">
        <v>539</v>
      </c>
      <c r="E164" s="3" t="s">
        <v>31</v>
      </c>
      <c r="F164" s="4">
        <v>16</v>
      </c>
      <c r="G164" s="5">
        <v>28.73</v>
      </c>
      <c r="H164" s="5">
        <f t="shared" si="49"/>
        <v>34.929934000000003</v>
      </c>
      <c r="I164" s="32">
        <f t="shared" si="47"/>
        <v>1.9648843581093485E-4</v>
      </c>
      <c r="J164" s="5">
        <f t="shared" si="48"/>
        <v>558.87894400000005</v>
      </c>
    </row>
    <row r="165" spans="1:10" ht="30" x14ac:dyDescent="0.25">
      <c r="A165" s="313" t="s">
        <v>20</v>
      </c>
      <c r="B165" s="3">
        <v>91953</v>
      </c>
      <c r="C165" s="313" t="s">
        <v>687</v>
      </c>
      <c r="D165" s="111" t="s">
        <v>540</v>
      </c>
      <c r="E165" s="3" t="s">
        <v>31</v>
      </c>
      <c r="F165" s="4">
        <v>19</v>
      </c>
      <c r="G165" s="5">
        <v>22.43</v>
      </c>
      <c r="H165" s="5">
        <f t="shared" si="49"/>
        <v>27.270394</v>
      </c>
      <c r="I165" s="32">
        <f t="shared" si="47"/>
        <v>1.8216471608411525E-4</v>
      </c>
      <c r="J165" s="5">
        <f t="shared" si="48"/>
        <v>518.13748599999997</v>
      </c>
    </row>
    <row r="166" spans="1:10" ht="30" x14ac:dyDescent="0.25">
      <c r="A166" s="313" t="s">
        <v>20</v>
      </c>
      <c r="B166" s="3">
        <v>92023</v>
      </c>
      <c r="C166" s="313" t="s">
        <v>688</v>
      </c>
      <c r="D166" s="33" t="s">
        <v>122</v>
      </c>
      <c r="E166" s="3" t="s">
        <v>31</v>
      </c>
      <c r="F166" s="4">
        <v>5</v>
      </c>
      <c r="G166" s="5">
        <v>39.840000000000003</v>
      </c>
      <c r="H166" s="5">
        <f t="shared" si="49"/>
        <v>48.437472000000007</v>
      </c>
      <c r="I166" s="32">
        <f t="shared" si="47"/>
        <v>8.514726856408421E-5</v>
      </c>
      <c r="J166" s="5">
        <f t="shared" si="48"/>
        <v>242.18736000000004</v>
      </c>
    </row>
    <row r="167" spans="1:10" ht="30" x14ac:dyDescent="0.25">
      <c r="A167" s="313" t="s">
        <v>20</v>
      </c>
      <c r="B167" s="3">
        <v>92027</v>
      </c>
      <c r="C167" s="313" t="s">
        <v>689</v>
      </c>
      <c r="D167" s="33" t="s">
        <v>541</v>
      </c>
      <c r="E167" s="3" t="s">
        <v>31</v>
      </c>
      <c r="F167" s="4">
        <v>2</v>
      </c>
      <c r="G167" s="5">
        <v>52.94</v>
      </c>
      <c r="H167" s="5">
        <f t="shared" si="49"/>
        <v>64.364452</v>
      </c>
      <c r="I167" s="32">
        <f t="shared" si="47"/>
        <v>4.5257995961672859E-5</v>
      </c>
      <c r="J167" s="5">
        <f t="shared" si="48"/>
        <v>128.728904</v>
      </c>
    </row>
    <row r="168" spans="1:10" ht="30" x14ac:dyDescent="0.25">
      <c r="A168" s="313" t="s">
        <v>20</v>
      </c>
      <c r="B168" s="3">
        <v>91959</v>
      </c>
      <c r="C168" s="313" t="s">
        <v>690</v>
      </c>
      <c r="D168" s="33" t="s">
        <v>123</v>
      </c>
      <c r="E168" s="3" t="s">
        <v>31</v>
      </c>
      <c r="F168" s="4">
        <v>17</v>
      </c>
      <c r="G168" s="5">
        <v>35.520000000000003</v>
      </c>
      <c r="H168" s="5">
        <f t="shared" si="49"/>
        <v>43.185216000000004</v>
      </c>
      <c r="I168" s="32">
        <f t="shared" si="47"/>
        <v>2.5810906952679016E-4</v>
      </c>
      <c r="J168" s="5">
        <f t="shared" si="48"/>
        <v>734.14867200000003</v>
      </c>
    </row>
    <row r="169" spans="1:10" ht="30" x14ac:dyDescent="0.25">
      <c r="A169" s="313" t="s">
        <v>20</v>
      </c>
      <c r="B169" s="3">
        <v>91993</v>
      </c>
      <c r="C169" s="313" t="s">
        <v>691</v>
      </c>
      <c r="D169" s="33" t="s">
        <v>542</v>
      </c>
      <c r="E169" s="3" t="s">
        <v>31</v>
      </c>
      <c r="F169" s="4">
        <v>38</v>
      </c>
      <c r="G169" s="5">
        <v>36.71</v>
      </c>
      <c r="H169" s="5">
        <f t="shared" si="49"/>
        <v>44.632018000000002</v>
      </c>
      <c r="I169" s="32">
        <f t="shared" si="47"/>
        <v>5.9627879870244066E-4</v>
      </c>
      <c r="J169" s="5">
        <f t="shared" si="48"/>
        <v>1696.0166840000002</v>
      </c>
    </row>
    <row r="170" spans="1:10" ht="30" x14ac:dyDescent="0.25">
      <c r="A170" s="313" t="s">
        <v>20</v>
      </c>
      <c r="B170" s="3">
        <v>91996</v>
      </c>
      <c r="C170" s="313" t="s">
        <v>692</v>
      </c>
      <c r="D170" s="33" t="s">
        <v>124</v>
      </c>
      <c r="E170" s="3" t="s">
        <v>31</v>
      </c>
      <c r="F170" s="4">
        <v>4</v>
      </c>
      <c r="G170" s="5">
        <v>26.79</v>
      </c>
      <c r="H170" s="5">
        <f t="shared" si="49"/>
        <v>32.571281999999997</v>
      </c>
      <c r="I170" s="32">
        <f t="shared" si="47"/>
        <v>4.580512700465492E-5</v>
      </c>
      <c r="J170" s="5">
        <f t="shared" si="48"/>
        <v>130.28512799999999</v>
      </c>
    </row>
    <row r="171" spans="1:10" ht="30" x14ac:dyDescent="0.25">
      <c r="A171" s="313" t="s">
        <v>20</v>
      </c>
      <c r="B171" s="3">
        <v>92000</v>
      </c>
      <c r="C171" s="313" t="s">
        <v>693</v>
      </c>
      <c r="D171" s="33" t="s">
        <v>328</v>
      </c>
      <c r="E171" s="3" t="s">
        <v>31</v>
      </c>
      <c r="F171" s="4">
        <v>116</v>
      </c>
      <c r="G171" s="5">
        <v>23.7</v>
      </c>
      <c r="H171" s="5">
        <f t="shared" si="49"/>
        <v>28.81446</v>
      </c>
      <c r="I171" s="32">
        <f t="shared" si="47"/>
        <v>1.175134893254921E-3</v>
      </c>
      <c r="J171" s="5">
        <f t="shared" si="48"/>
        <v>3342.4773599999999</v>
      </c>
    </row>
    <row r="172" spans="1:10" ht="30" x14ac:dyDescent="0.25">
      <c r="A172" s="313" t="s">
        <v>20</v>
      </c>
      <c r="B172" s="3">
        <v>93653</v>
      </c>
      <c r="C172" s="313" t="s">
        <v>694</v>
      </c>
      <c r="D172" s="33" t="s">
        <v>125</v>
      </c>
      <c r="E172" s="3" t="s">
        <v>31</v>
      </c>
      <c r="F172" s="4">
        <v>19</v>
      </c>
      <c r="G172" s="5">
        <v>12.41</v>
      </c>
      <c r="H172" s="5">
        <f t="shared" si="49"/>
        <v>15.088077999999999</v>
      </c>
      <c r="I172" s="32">
        <f t="shared" si="47"/>
        <v>1.0078752236307937E-4</v>
      </c>
      <c r="J172" s="5">
        <f t="shared" si="48"/>
        <v>286.67348199999998</v>
      </c>
    </row>
    <row r="173" spans="1:10" ht="30" x14ac:dyDescent="0.25">
      <c r="A173" s="313" t="s">
        <v>20</v>
      </c>
      <c r="B173" s="3">
        <v>93654</v>
      </c>
      <c r="C173" s="313" t="s">
        <v>695</v>
      </c>
      <c r="D173" s="33" t="s">
        <v>195</v>
      </c>
      <c r="E173" s="3" t="s">
        <v>31</v>
      </c>
      <c r="F173" s="4">
        <v>7</v>
      </c>
      <c r="G173" s="5">
        <v>12.94</v>
      </c>
      <c r="H173" s="5">
        <f t="shared" si="49"/>
        <v>15.732451999999999</v>
      </c>
      <c r="I173" s="32">
        <f t="shared" si="47"/>
        <v>3.871807021352784E-5</v>
      </c>
      <c r="J173" s="5">
        <f t="shared" si="48"/>
        <v>110.12716399999999</v>
      </c>
    </row>
    <row r="174" spans="1:10" ht="30" x14ac:dyDescent="0.25">
      <c r="A174" s="313" t="s">
        <v>20</v>
      </c>
      <c r="B174" s="3">
        <v>93659</v>
      </c>
      <c r="C174" s="313" t="s">
        <v>696</v>
      </c>
      <c r="D174" s="33" t="s">
        <v>543</v>
      </c>
      <c r="E174" s="3" t="s">
        <v>31</v>
      </c>
      <c r="F174" s="4">
        <v>1</v>
      </c>
      <c r="G174" s="5">
        <v>24.68</v>
      </c>
      <c r="H174" s="5">
        <f t="shared" si="49"/>
        <v>30.005944</v>
      </c>
      <c r="I174" s="32">
        <f t="shared" si="47"/>
        <v>1.0549370422497981E-5</v>
      </c>
      <c r="J174" s="5">
        <f t="shared" si="48"/>
        <v>30.005944</v>
      </c>
    </row>
    <row r="175" spans="1:10" ht="30" x14ac:dyDescent="0.25">
      <c r="A175" s="313" t="s">
        <v>20</v>
      </c>
      <c r="B175" s="3">
        <v>93660</v>
      </c>
      <c r="C175" s="313" t="s">
        <v>697</v>
      </c>
      <c r="D175" s="33" t="s">
        <v>321</v>
      </c>
      <c r="E175" s="3" t="s">
        <v>31</v>
      </c>
      <c r="F175" s="4">
        <v>38</v>
      </c>
      <c r="G175" s="5">
        <v>62.26</v>
      </c>
      <c r="H175" s="5">
        <f t="shared" si="49"/>
        <v>75.695707999999996</v>
      </c>
      <c r="I175" s="32">
        <f t="shared" si="47"/>
        <v>1.0112862437268849E-3</v>
      </c>
      <c r="J175" s="5">
        <f t="shared" si="48"/>
        <v>2876.4369039999997</v>
      </c>
    </row>
    <row r="176" spans="1:10" ht="30" x14ac:dyDescent="0.25">
      <c r="A176" s="313" t="s">
        <v>20</v>
      </c>
      <c r="B176" s="3">
        <v>93661</v>
      </c>
      <c r="C176" s="313" t="s">
        <v>698</v>
      </c>
      <c r="D176" s="33" t="s">
        <v>544</v>
      </c>
      <c r="E176" s="3" t="s">
        <v>31</v>
      </c>
      <c r="F176" s="4">
        <v>4</v>
      </c>
      <c r="G176" s="5">
        <v>63.32</v>
      </c>
      <c r="H176" s="5">
        <f t="shared" si="49"/>
        <v>76.984455999999994</v>
      </c>
      <c r="I176" s="32">
        <f t="shared" ref="I176:I207" si="50">J176/J$225</f>
        <v>1.0826355513007651E-4</v>
      </c>
      <c r="J176" s="5">
        <f t="shared" si="48"/>
        <v>307.93782399999998</v>
      </c>
    </row>
    <row r="177" spans="1:10" ht="30" x14ac:dyDescent="0.25">
      <c r="A177" s="313" t="s">
        <v>20</v>
      </c>
      <c r="B177" s="3">
        <v>93663</v>
      </c>
      <c r="C177" s="313" t="s">
        <v>699</v>
      </c>
      <c r="D177" s="33" t="s">
        <v>545</v>
      </c>
      <c r="E177" s="3" t="s">
        <v>31</v>
      </c>
      <c r="F177" s="4">
        <v>2</v>
      </c>
      <c r="G177" s="5">
        <v>65.44</v>
      </c>
      <c r="H177" s="5">
        <f t="shared" si="49"/>
        <v>79.561951999999991</v>
      </c>
      <c r="I177" s="32">
        <f t="shared" si="50"/>
        <v>5.5944149144916352E-5</v>
      </c>
      <c r="J177" s="5">
        <f t="shared" si="48"/>
        <v>159.12390399999998</v>
      </c>
    </row>
    <row r="178" spans="1:10" ht="30" x14ac:dyDescent="0.25">
      <c r="A178" s="313" t="s">
        <v>20</v>
      </c>
      <c r="B178" s="3">
        <v>93664</v>
      </c>
      <c r="C178" s="313" t="s">
        <v>700</v>
      </c>
      <c r="D178" s="33" t="s">
        <v>546</v>
      </c>
      <c r="E178" s="3" t="s">
        <v>31</v>
      </c>
      <c r="F178" s="4">
        <v>1</v>
      </c>
      <c r="G178" s="5">
        <v>68</v>
      </c>
      <c r="H178" s="5">
        <f t="shared" si="49"/>
        <v>82.674400000000006</v>
      </c>
      <c r="I178" s="32">
        <f t="shared" si="50"/>
        <v>2.9066336658422317E-5</v>
      </c>
      <c r="J178" s="5">
        <f t="shared" si="48"/>
        <v>82.674400000000006</v>
      </c>
    </row>
    <row r="179" spans="1:10" ht="30" x14ac:dyDescent="0.25">
      <c r="A179" s="313" t="s">
        <v>20</v>
      </c>
      <c r="B179" s="3">
        <v>93665</v>
      </c>
      <c r="C179" s="313" t="s">
        <v>701</v>
      </c>
      <c r="D179" s="33" t="s">
        <v>547</v>
      </c>
      <c r="E179" s="3" t="s">
        <v>31</v>
      </c>
      <c r="F179" s="4">
        <v>4</v>
      </c>
      <c r="G179" s="5">
        <v>71.099999999999994</v>
      </c>
      <c r="H179" s="5">
        <f t="shared" si="49"/>
        <v>86.443379999999991</v>
      </c>
      <c r="I179" s="32">
        <f t="shared" si="50"/>
        <v>1.2156567861257802E-4</v>
      </c>
      <c r="J179" s="5">
        <f t="shared" si="48"/>
        <v>345.77351999999996</v>
      </c>
    </row>
    <row r="180" spans="1:10" ht="30" x14ac:dyDescent="0.25">
      <c r="A180" s="313" t="s">
        <v>20</v>
      </c>
      <c r="B180" s="3">
        <v>93666</v>
      </c>
      <c r="C180" s="313" t="s">
        <v>702</v>
      </c>
      <c r="D180" s="33" t="s">
        <v>548</v>
      </c>
      <c r="E180" s="3" t="s">
        <v>31</v>
      </c>
      <c r="F180" s="4">
        <v>1</v>
      </c>
      <c r="G180" s="5">
        <v>76.239999999999995</v>
      </c>
      <c r="H180" s="5">
        <f t="shared" si="49"/>
        <v>92.692591999999991</v>
      </c>
      <c r="I180" s="32">
        <f t="shared" si="50"/>
        <v>3.2588492747619366E-5</v>
      </c>
      <c r="J180" s="5">
        <f t="shared" si="48"/>
        <v>92.692591999999991</v>
      </c>
    </row>
    <row r="181" spans="1:10" ht="30" x14ac:dyDescent="0.25">
      <c r="A181" s="313" t="s">
        <v>20</v>
      </c>
      <c r="B181" s="3">
        <v>93670</v>
      </c>
      <c r="C181" s="313" t="s">
        <v>703</v>
      </c>
      <c r="D181" s="33" t="s">
        <v>549</v>
      </c>
      <c r="E181" s="3" t="s">
        <v>31</v>
      </c>
      <c r="F181" s="4">
        <v>2</v>
      </c>
      <c r="G181" s="5">
        <v>82.38</v>
      </c>
      <c r="H181" s="5">
        <f t="shared" si="49"/>
        <v>100.15760399999999</v>
      </c>
      <c r="I181" s="32">
        <f t="shared" si="50"/>
        <v>7.042602393884794E-5</v>
      </c>
      <c r="J181" s="5">
        <f t="shared" si="48"/>
        <v>200.31520799999998</v>
      </c>
    </row>
    <row r="182" spans="1:10" ht="30" x14ac:dyDescent="0.25">
      <c r="A182" s="313" t="s">
        <v>20</v>
      </c>
      <c r="B182" s="3">
        <v>93671</v>
      </c>
      <c r="C182" s="313" t="s">
        <v>704</v>
      </c>
      <c r="D182" s="33" t="s">
        <v>550</v>
      </c>
      <c r="E182" s="3" t="s">
        <v>31</v>
      </c>
      <c r="F182" s="4">
        <v>1</v>
      </c>
      <c r="G182" s="5">
        <v>86.2</v>
      </c>
      <c r="H182" s="5">
        <f t="shared" si="49"/>
        <v>104.80196000000001</v>
      </c>
      <c r="I182" s="32">
        <f t="shared" si="50"/>
        <v>3.6845856175823581E-5</v>
      </c>
      <c r="J182" s="5">
        <f t="shared" si="48"/>
        <v>104.80196000000001</v>
      </c>
    </row>
    <row r="183" spans="1:10" ht="30" x14ac:dyDescent="0.25">
      <c r="A183" s="313" t="s">
        <v>20</v>
      </c>
      <c r="B183" s="3">
        <v>93672</v>
      </c>
      <c r="C183" s="313" t="s">
        <v>705</v>
      </c>
      <c r="D183" s="33" t="s">
        <v>551</v>
      </c>
      <c r="E183" s="3" t="s">
        <v>31</v>
      </c>
      <c r="F183" s="4">
        <v>4</v>
      </c>
      <c r="G183" s="5">
        <v>92.17</v>
      </c>
      <c r="H183" s="5">
        <f t="shared" si="49"/>
        <v>112.060286</v>
      </c>
      <c r="I183" s="32">
        <f t="shared" si="50"/>
        <v>1.5759083822392851E-4</v>
      </c>
      <c r="J183" s="5">
        <f t="shared" si="48"/>
        <v>448.24114400000002</v>
      </c>
    </row>
    <row r="184" spans="1:10" ht="30" x14ac:dyDescent="0.25">
      <c r="A184" s="313" t="s">
        <v>20</v>
      </c>
      <c r="B184" s="3">
        <v>93673</v>
      </c>
      <c r="C184" s="313" t="s">
        <v>706</v>
      </c>
      <c r="D184" s="33" t="s">
        <v>552</v>
      </c>
      <c r="E184" s="3" t="s">
        <v>31</v>
      </c>
      <c r="F184" s="4">
        <v>1</v>
      </c>
      <c r="G184" s="5">
        <v>99.89</v>
      </c>
      <c r="H184" s="5">
        <f t="shared" si="49"/>
        <v>121.446262</v>
      </c>
      <c r="I184" s="32">
        <f t="shared" si="50"/>
        <v>4.2697593658967723E-5</v>
      </c>
      <c r="J184" s="5">
        <f t="shared" si="48"/>
        <v>121.446262</v>
      </c>
    </row>
    <row r="185" spans="1:10" ht="30" x14ac:dyDescent="0.25">
      <c r="A185" s="313" t="s">
        <v>20</v>
      </c>
      <c r="B185" s="3">
        <v>101897</v>
      </c>
      <c r="C185" s="313" t="s">
        <v>707</v>
      </c>
      <c r="D185" s="33" t="s">
        <v>553</v>
      </c>
      <c r="E185" s="3" t="s">
        <v>31</v>
      </c>
      <c r="F185" s="4">
        <v>1</v>
      </c>
      <c r="G185" s="5">
        <v>1111.92</v>
      </c>
      <c r="H185" s="5">
        <f t="shared" si="49"/>
        <v>1351.8723360000001</v>
      </c>
      <c r="I185" s="32">
        <f t="shared" si="50"/>
        <v>4.7528589790048442E-4</v>
      </c>
      <c r="J185" s="5">
        <f t="shared" si="48"/>
        <v>1351.8723360000001</v>
      </c>
    </row>
    <row r="186" spans="1:10" ht="30" x14ac:dyDescent="0.25">
      <c r="A186" s="313" t="s">
        <v>20</v>
      </c>
      <c r="B186" s="3" t="s">
        <v>798</v>
      </c>
      <c r="C186" s="313" t="s">
        <v>708</v>
      </c>
      <c r="D186" s="33" t="str">
        <f>COMPELE!A76</f>
        <v>DISJUNTOR TRIPOLAR TIPO DIN, CORRENTE NOMINAL DE 63A - FORNECIMENTO E INSTALAÇÃO</v>
      </c>
      <c r="E186" s="3" t="s">
        <v>31</v>
      </c>
      <c r="F186" s="4">
        <v>1</v>
      </c>
      <c r="G186" s="5">
        <f>COMPELE!F82</f>
        <v>133.47051999999999</v>
      </c>
      <c r="H186" s="5">
        <f t="shared" si="49"/>
        <v>162.27345821599999</v>
      </c>
      <c r="I186" s="32">
        <f t="shared" si="50"/>
        <v>5.7051456886686592E-5</v>
      </c>
      <c r="J186" s="5">
        <f t="shared" si="48"/>
        <v>162.27345821599999</v>
      </c>
    </row>
    <row r="187" spans="1:10" ht="30" x14ac:dyDescent="0.25">
      <c r="A187" s="313" t="s">
        <v>20</v>
      </c>
      <c r="B187" s="3" t="s">
        <v>799</v>
      </c>
      <c r="C187" s="313" t="s">
        <v>709</v>
      </c>
      <c r="D187" s="33" t="str">
        <f>COMPELE!A86</f>
        <v>DISPOSITIVO DR, 2 POLOS, SENSIBILIDADE DE 30 MA, CORRENTE DE 25 A, TIPO AC - FORNECIMENTO E INSTALAÇÃO</v>
      </c>
      <c r="E187" s="3" t="s">
        <v>31</v>
      </c>
      <c r="F187" s="4">
        <v>2</v>
      </c>
      <c r="G187" s="5">
        <f>COMPELE!F92</f>
        <v>196.00400000000002</v>
      </c>
      <c r="H187" s="5">
        <f t="shared" si="49"/>
        <v>238.30166320000004</v>
      </c>
      <c r="I187" s="32">
        <f t="shared" si="50"/>
        <v>1.675623014822767E-4</v>
      </c>
      <c r="J187" s="5">
        <f t="shared" si="48"/>
        <v>476.60332640000007</v>
      </c>
    </row>
    <row r="188" spans="1:10" ht="30" x14ac:dyDescent="0.25">
      <c r="A188" s="313" t="s">
        <v>20</v>
      </c>
      <c r="B188" s="3" t="s">
        <v>800</v>
      </c>
      <c r="C188" s="313" t="s">
        <v>710</v>
      </c>
      <c r="D188" s="33" t="str">
        <f>COMPELE!A96</f>
        <v>DISPOSITIVO DR, 2 POLOS, SENSIBILIDADE DE 30 MA, CORRENTE DE 40 A, TIPO AC - FORNECIMENTO E INSTALAÇÃO</v>
      </c>
      <c r="E188" s="3" t="s">
        <v>31</v>
      </c>
      <c r="F188" s="4">
        <v>5</v>
      </c>
      <c r="G188" s="5">
        <f>COMPELE!F102</f>
        <v>200.876</v>
      </c>
      <c r="H188" s="5">
        <f t="shared" si="49"/>
        <v>244.22504080000002</v>
      </c>
      <c r="I188" s="32">
        <f t="shared" si="50"/>
        <v>4.2931834136744423E-4</v>
      </c>
      <c r="J188" s="5">
        <f t="shared" si="48"/>
        <v>1221.1252040000002</v>
      </c>
    </row>
    <row r="189" spans="1:10" ht="30" x14ac:dyDescent="0.25">
      <c r="A189" s="313" t="s">
        <v>20</v>
      </c>
      <c r="B189" s="3" t="s">
        <v>754</v>
      </c>
      <c r="C189" s="313" t="s">
        <v>711</v>
      </c>
      <c r="D189" s="33" t="str">
        <f>COMPELE!A106</f>
        <v>DISPOSITIVO DR, 2 POLOS, SENSIBILIDADE DE 30 MA, CORRENTE DE 63 A, TIPO AC - FORNECIMENTO E INSTALAÇÃO</v>
      </c>
      <c r="E189" s="3" t="s">
        <v>31</v>
      </c>
      <c r="F189" s="4">
        <v>2</v>
      </c>
      <c r="G189" s="5">
        <f>COMPELE!F112</f>
        <v>213.90799999999999</v>
      </c>
      <c r="H189" s="5">
        <f t="shared" si="49"/>
        <v>260.06934639999997</v>
      </c>
      <c r="I189" s="32">
        <f t="shared" si="50"/>
        <v>1.8286829240969998E-4</v>
      </c>
      <c r="J189" s="5">
        <f t="shared" si="48"/>
        <v>520.13869279999994</v>
      </c>
    </row>
    <row r="190" spans="1:10" ht="30" x14ac:dyDescent="0.25">
      <c r="A190" s="313" t="s">
        <v>20</v>
      </c>
      <c r="B190" s="3">
        <v>91856</v>
      </c>
      <c r="C190" s="313" t="s">
        <v>712</v>
      </c>
      <c r="D190" s="33" t="s">
        <v>126</v>
      </c>
      <c r="E190" s="3" t="s">
        <v>24</v>
      </c>
      <c r="F190" s="4">
        <v>710.9</v>
      </c>
      <c r="G190" s="5">
        <v>10.87</v>
      </c>
      <c r="H190" s="5">
        <f t="shared" si="49"/>
        <v>13.215745999999999</v>
      </c>
      <c r="I190" s="32">
        <f t="shared" si="50"/>
        <v>3.3030826823564003E-3</v>
      </c>
      <c r="J190" s="5">
        <f t="shared" si="48"/>
        <v>9395.0738313999991</v>
      </c>
    </row>
    <row r="191" spans="1:10" ht="30" x14ac:dyDescent="0.25">
      <c r="A191" s="313" t="s">
        <v>20</v>
      </c>
      <c r="B191" s="3">
        <v>91854</v>
      </c>
      <c r="C191" s="313" t="s">
        <v>713</v>
      </c>
      <c r="D191" s="33" t="s">
        <v>127</v>
      </c>
      <c r="E191" s="3" t="s">
        <v>24</v>
      </c>
      <c r="F191" s="4">
        <v>913.7</v>
      </c>
      <c r="G191" s="5">
        <v>8.39</v>
      </c>
      <c r="H191" s="5">
        <f t="shared" si="49"/>
        <v>10.200562000000001</v>
      </c>
      <c r="I191" s="32">
        <f t="shared" si="50"/>
        <v>3.2767776476805288E-3</v>
      </c>
      <c r="J191" s="5">
        <f t="shared" si="48"/>
        <v>9320.2534994000016</v>
      </c>
    </row>
    <row r="192" spans="1:10" ht="30" x14ac:dyDescent="0.25">
      <c r="A192" s="313" t="s">
        <v>20</v>
      </c>
      <c r="B192" s="3">
        <v>97667</v>
      </c>
      <c r="C192" s="313" t="s">
        <v>714</v>
      </c>
      <c r="D192" s="33" t="s">
        <v>554</v>
      </c>
      <c r="E192" s="3" t="s">
        <v>24</v>
      </c>
      <c r="F192" s="4">
        <v>90.5</v>
      </c>
      <c r="G192" s="5">
        <v>6.93</v>
      </c>
      <c r="H192" s="5">
        <f t="shared" si="49"/>
        <v>8.4254940000000005</v>
      </c>
      <c r="I192" s="32">
        <f t="shared" si="50"/>
        <v>2.6807925044675633E-4</v>
      </c>
      <c r="J192" s="5">
        <f t="shared" si="48"/>
        <v>762.50720699999999</v>
      </c>
    </row>
    <row r="193" spans="1:10" ht="30" x14ac:dyDescent="0.25">
      <c r="A193" s="313" t="s">
        <v>20</v>
      </c>
      <c r="B193" s="3">
        <v>97668</v>
      </c>
      <c r="C193" s="313" t="s">
        <v>715</v>
      </c>
      <c r="D193" s="33" t="s">
        <v>555</v>
      </c>
      <c r="E193" s="3" t="s">
        <v>24</v>
      </c>
      <c r="F193" s="4">
        <v>83.4</v>
      </c>
      <c r="G193" s="5">
        <v>9.86</v>
      </c>
      <c r="H193" s="5">
        <f t="shared" si="49"/>
        <v>11.987788</v>
      </c>
      <c r="I193" s="32">
        <f t="shared" si="50"/>
        <v>3.5149920921030106E-4</v>
      </c>
      <c r="J193" s="5">
        <f t="shared" si="48"/>
        <v>999.78151920000005</v>
      </c>
    </row>
    <row r="194" spans="1:10" ht="30" x14ac:dyDescent="0.25">
      <c r="A194" s="313" t="s">
        <v>20</v>
      </c>
      <c r="B194" s="3">
        <v>97669</v>
      </c>
      <c r="C194" s="313" t="s">
        <v>716</v>
      </c>
      <c r="D194" s="33" t="s">
        <v>556</v>
      </c>
      <c r="E194" s="3" t="s">
        <v>24</v>
      </c>
      <c r="F194" s="4">
        <v>60</v>
      </c>
      <c r="G194" s="5">
        <v>14.61</v>
      </c>
      <c r="H194" s="5">
        <f t="shared" si="49"/>
        <v>17.762837999999999</v>
      </c>
      <c r="I194" s="32">
        <f t="shared" si="50"/>
        <v>3.7469927521724996E-4</v>
      </c>
      <c r="J194" s="5">
        <f t="shared" si="48"/>
        <v>1065.77028</v>
      </c>
    </row>
    <row r="195" spans="1:10" ht="30" x14ac:dyDescent="0.25">
      <c r="A195" s="313" t="s">
        <v>20</v>
      </c>
      <c r="B195" s="3">
        <v>97670</v>
      </c>
      <c r="C195" s="313" t="s">
        <v>717</v>
      </c>
      <c r="D195" s="33" t="s">
        <v>557</v>
      </c>
      <c r="E195" s="3" t="s">
        <v>24</v>
      </c>
      <c r="F195" s="4">
        <v>48.7</v>
      </c>
      <c r="G195" s="5">
        <v>18.73</v>
      </c>
      <c r="H195" s="5">
        <f t="shared" si="49"/>
        <v>22.771934000000002</v>
      </c>
      <c r="I195" s="32">
        <f t="shared" si="50"/>
        <v>3.8989541248994966E-4</v>
      </c>
      <c r="J195" s="5">
        <f t="shared" si="48"/>
        <v>1108.9931858000002</v>
      </c>
    </row>
    <row r="196" spans="1:10" ht="30" x14ac:dyDescent="0.25">
      <c r="A196" s="313" t="s">
        <v>20</v>
      </c>
      <c r="B196" s="3">
        <v>91870</v>
      </c>
      <c r="C196" s="313" t="s">
        <v>718</v>
      </c>
      <c r="D196" s="33" t="s">
        <v>293</v>
      </c>
      <c r="E196" s="3" t="s">
        <v>24</v>
      </c>
      <c r="F196" s="4">
        <v>8</v>
      </c>
      <c r="G196" s="5">
        <v>9.94</v>
      </c>
      <c r="H196" s="5">
        <f t="shared" si="49"/>
        <v>12.085051999999999</v>
      </c>
      <c r="I196" s="32">
        <f t="shared" si="50"/>
        <v>3.3990516045260917E-5</v>
      </c>
      <c r="J196" s="5">
        <f t="shared" si="48"/>
        <v>96.680415999999994</v>
      </c>
    </row>
    <row r="197" spans="1:10" ht="30" x14ac:dyDescent="0.25">
      <c r="A197" s="313" t="s">
        <v>20</v>
      </c>
      <c r="B197" s="3">
        <v>91871</v>
      </c>
      <c r="C197" s="313" t="s">
        <v>719</v>
      </c>
      <c r="D197" s="33" t="s">
        <v>128</v>
      </c>
      <c r="E197" s="3" t="s">
        <v>24</v>
      </c>
      <c r="F197" s="4">
        <v>2</v>
      </c>
      <c r="G197" s="5">
        <v>11.57</v>
      </c>
      <c r="H197" s="5">
        <f t="shared" si="49"/>
        <v>14.066806</v>
      </c>
      <c r="I197" s="32">
        <f t="shared" si="50"/>
        <v>9.8911033864101819E-6</v>
      </c>
      <c r="J197" s="5">
        <f t="shared" si="48"/>
        <v>28.133611999999999</v>
      </c>
    </row>
    <row r="198" spans="1:10" ht="30" customHeight="1" x14ac:dyDescent="0.25">
      <c r="A198" s="313" t="s">
        <v>20</v>
      </c>
      <c r="B198" s="3" t="s">
        <v>796</v>
      </c>
      <c r="C198" s="313" t="s">
        <v>720</v>
      </c>
      <c r="D198" s="33" t="str">
        <f>COMPELE!A48</f>
        <v>LUMINÁRIA PARA 2 LAMPADAS LED DE 36W, BASE G13, EM CHAPA DE AÇO, INCLUSO LAMPADA. INSTALAÇÃO E FORNECIMENTO.</v>
      </c>
      <c r="E198" s="3" t="s">
        <v>31</v>
      </c>
      <c r="F198" s="4">
        <v>4</v>
      </c>
      <c r="G198" s="5">
        <f>COMPELE!F54</f>
        <v>289.48107199999993</v>
      </c>
      <c r="H198" s="5">
        <f t="shared" si="49"/>
        <v>351.95108733759992</v>
      </c>
      <c r="I198" s="32">
        <f t="shared" si="50"/>
        <v>4.949502526466463E-4</v>
      </c>
      <c r="J198" s="5">
        <f t="shared" si="48"/>
        <v>1407.8043493503997</v>
      </c>
    </row>
    <row r="199" spans="1:10" ht="30" customHeight="1" x14ac:dyDescent="0.25">
      <c r="A199" s="313" t="s">
        <v>20</v>
      </c>
      <c r="B199" s="3" t="s">
        <v>801</v>
      </c>
      <c r="C199" s="313" t="s">
        <v>721</v>
      </c>
      <c r="D199" s="33" t="str">
        <f>COMPELE!A116</f>
        <v>LUMINÁRIA PARA 1 LAMPADAS LED DE 36W, BASE G13, EM CHAPA DE AÇO, INCLUSO LAMPADA. INSTALAÇÃO E FORNECIMENTO.</v>
      </c>
      <c r="E199" s="3" t="s">
        <v>31</v>
      </c>
      <c r="F199" s="4">
        <v>18</v>
      </c>
      <c r="G199" s="5">
        <f>COMPELE!F122</f>
        <v>172.48999999999998</v>
      </c>
      <c r="H199" s="5">
        <f t="shared" si="49"/>
        <v>209.71334199999998</v>
      </c>
      <c r="I199" s="32">
        <f t="shared" si="50"/>
        <v>1.3271432850559229E-3</v>
      </c>
      <c r="J199" s="5">
        <f t="shared" si="48"/>
        <v>3774.8401559999998</v>
      </c>
    </row>
    <row r="200" spans="1:10" ht="30" customHeight="1" x14ac:dyDescent="0.25">
      <c r="A200" s="313" t="s">
        <v>20</v>
      </c>
      <c r="B200" s="3" t="s">
        <v>802</v>
      </c>
      <c r="C200" s="313" t="s">
        <v>722</v>
      </c>
      <c r="D200" s="33" t="str">
        <f>COMPELE!A126</f>
        <v>LUMINÁRIA PARA 1 LAMPADAS LED DE 18W, BASE G13, EM CHAPA DE AÇO, INCLUSO LAMPADA. INSTALAÇÃO E FORNECIMENTO.</v>
      </c>
      <c r="E200" s="3" t="s">
        <v>31</v>
      </c>
      <c r="F200" s="4">
        <v>18</v>
      </c>
      <c r="G200" s="5">
        <f>COMPELE!F132</f>
        <v>74.05</v>
      </c>
      <c r="H200" s="5">
        <f t="shared" si="49"/>
        <v>90.029989999999998</v>
      </c>
      <c r="I200" s="32">
        <f t="shared" ref="I200:I216" si="51">J200/J$225</f>
        <v>5.6974294311781034E-4</v>
      </c>
      <c r="J200" s="5">
        <f t="shared" si="48"/>
        <v>1620.53982</v>
      </c>
    </row>
    <row r="201" spans="1:10" ht="30" customHeight="1" x14ac:dyDescent="0.25">
      <c r="A201" s="313" t="s">
        <v>20</v>
      </c>
      <c r="B201" s="3" t="s">
        <v>803</v>
      </c>
      <c r="C201" s="313" t="s">
        <v>723</v>
      </c>
      <c r="D201" s="33" t="str">
        <f>COMPELE!A136</f>
        <v>LUMINÁRIA PARA 2 LAMPADAS LED DE 18W, BASE G13, EM CHAPA DE AÇO, INCLUSO LAMPADA. INSTALAÇÃO E FORNECIMENTO.</v>
      </c>
      <c r="E201" s="3" t="s">
        <v>31</v>
      </c>
      <c r="F201" s="4">
        <v>102</v>
      </c>
      <c r="G201" s="5">
        <f>COMPELE!F142</f>
        <v>101.88427200000001</v>
      </c>
      <c r="H201" s="5">
        <f t="shared" si="49"/>
        <v>123.87089789760002</v>
      </c>
      <c r="I201" s="32">
        <f t="shared" si="51"/>
        <v>4.4421038252254056E-3</v>
      </c>
      <c r="J201" s="5">
        <f t="shared" si="48"/>
        <v>12634.831585555201</v>
      </c>
    </row>
    <row r="202" spans="1:10" ht="30" customHeight="1" x14ac:dyDescent="0.25">
      <c r="A202" s="313" t="s">
        <v>20</v>
      </c>
      <c r="B202" s="3" t="s">
        <v>804</v>
      </c>
      <c r="C202" s="313" t="s">
        <v>724</v>
      </c>
      <c r="D202" s="33" t="str">
        <f>COMPELE!A146</f>
        <v>LUMINÁRIA TIPO PLAFON RETANGULAR, DE SOBREPOR, COM LED DE 30 W - FORNECIMENTO E INSTALAÇÃO.</v>
      </c>
      <c r="E202" s="3" t="s">
        <v>31</v>
      </c>
      <c r="F202" s="4">
        <v>9</v>
      </c>
      <c r="G202" s="5">
        <f>COMPELE!F151</f>
        <v>53.532799999999995</v>
      </c>
      <c r="H202" s="5">
        <f t="shared" si="49"/>
        <v>65.085178239999991</v>
      </c>
      <c r="I202" s="32">
        <f t="shared" si="51"/>
        <v>2.0594149240605748E-4</v>
      </c>
      <c r="J202" s="5">
        <f t="shared" si="48"/>
        <v>585.76660415999993</v>
      </c>
    </row>
    <row r="203" spans="1:10" ht="30" customHeight="1" x14ac:dyDescent="0.25">
      <c r="A203" s="313" t="s">
        <v>20</v>
      </c>
      <c r="B203" s="3">
        <v>103782</v>
      </c>
      <c r="C203" s="313" t="s">
        <v>725</v>
      </c>
      <c r="D203" s="33" t="s">
        <v>559</v>
      </c>
      <c r="E203" s="3" t="s">
        <v>31</v>
      </c>
      <c r="F203" s="4">
        <v>2</v>
      </c>
      <c r="G203" s="5">
        <v>32.32</v>
      </c>
      <c r="H203" s="5">
        <f t="shared" si="49"/>
        <v>39.294656000000003</v>
      </c>
      <c r="I203" s="32">
        <f t="shared" si="51"/>
        <v>2.763011767059439E-5</v>
      </c>
      <c r="J203" s="5">
        <f t="shared" si="48"/>
        <v>78.589312000000007</v>
      </c>
    </row>
    <row r="204" spans="1:10" ht="30" customHeight="1" x14ac:dyDescent="0.25">
      <c r="A204" s="313" t="s">
        <v>20</v>
      </c>
      <c r="B204" s="3">
        <v>98111</v>
      </c>
      <c r="C204" s="313" t="s">
        <v>726</v>
      </c>
      <c r="D204" s="33" t="s">
        <v>95</v>
      </c>
      <c r="E204" s="3" t="s">
        <v>31</v>
      </c>
      <c r="F204" s="4">
        <v>2</v>
      </c>
      <c r="G204" s="5">
        <v>60.54</v>
      </c>
      <c r="H204" s="5">
        <f t="shared" si="49"/>
        <v>73.604531999999992</v>
      </c>
      <c r="I204" s="32">
        <f t="shared" si="51"/>
        <v>5.1755177097084903E-5</v>
      </c>
      <c r="J204" s="5">
        <f t="shared" si="48"/>
        <v>147.20906399999998</v>
      </c>
    </row>
    <row r="205" spans="1:10" ht="30" customHeight="1" x14ac:dyDescent="0.25">
      <c r="A205" s="313" t="s">
        <v>20</v>
      </c>
      <c r="B205" s="3">
        <v>420</v>
      </c>
      <c r="C205" s="313" t="s">
        <v>727</v>
      </c>
      <c r="D205" s="33" t="s">
        <v>333</v>
      </c>
      <c r="E205" s="3" t="s">
        <v>31</v>
      </c>
      <c r="F205" s="4">
        <v>4</v>
      </c>
      <c r="G205" s="5">
        <v>38.76</v>
      </c>
      <c r="H205" s="5">
        <f t="shared" si="49"/>
        <v>47.124407999999995</v>
      </c>
      <c r="I205" s="32">
        <f t="shared" si="51"/>
        <v>6.627124758120287E-5</v>
      </c>
      <c r="J205" s="5">
        <f t="shared" si="48"/>
        <v>188.49763199999998</v>
      </c>
    </row>
    <row r="206" spans="1:10" x14ac:dyDescent="0.25">
      <c r="A206" s="313" t="s">
        <v>20</v>
      </c>
      <c r="B206" s="3">
        <v>96985</v>
      </c>
      <c r="C206" s="313" t="s">
        <v>728</v>
      </c>
      <c r="D206" s="33" t="s">
        <v>560</v>
      </c>
      <c r="E206" s="3" t="s">
        <v>31</v>
      </c>
      <c r="F206" s="4">
        <v>2</v>
      </c>
      <c r="G206" s="5">
        <v>79.59</v>
      </c>
      <c r="H206" s="5">
        <f t="shared" si="49"/>
        <v>96.765522000000004</v>
      </c>
      <c r="I206" s="32">
        <f t="shared" si="51"/>
        <v>6.8040874548347998E-5</v>
      </c>
      <c r="J206" s="5">
        <f t="shared" si="48"/>
        <v>193.53104400000001</v>
      </c>
    </row>
    <row r="207" spans="1:10" ht="15" customHeight="1" x14ac:dyDescent="0.25">
      <c r="A207" s="313" t="s">
        <v>20</v>
      </c>
      <c r="B207" s="3">
        <v>101548</v>
      </c>
      <c r="C207" s="313" t="s">
        <v>729</v>
      </c>
      <c r="D207" s="33" t="s">
        <v>561</v>
      </c>
      <c r="E207" s="3" t="s">
        <v>31</v>
      </c>
      <c r="F207" s="4">
        <v>16</v>
      </c>
      <c r="G207" s="5">
        <v>7.57</v>
      </c>
      <c r="H207" s="5">
        <f t="shared" si="49"/>
        <v>9.2036060000000006</v>
      </c>
      <c r="I207" s="32">
        <f t="shared" si="51"/>
        <v>5.1772274942178099E-5</v>
      </c>
      <c r="J207" s="5">
        <f t="shared" si="48"/>
        <v>147.25769600000001</v>
      </c>
    </row>
    <row r="208" spans="1:10" ht="15" customHeight="1" x14ac:dyDescent="0.25">
      <c r="A208" s="313" t="s">
        <v>20</v>
      </c>
      <c r="B208" s="3">
        <v>101918</v>
      </c>
      <c r="C208" s="313" t="s">
        <v>730</v>
      </c>
      <c r="D208" s="33" t="s">
        <v>562</v>
      </c>
      <c r="E208" s="3" t="s">
        <v>24</v>
      </c>
      <c r="F208" s="4">
        <v>12</v>
      </c>
      <c r="G208" s="5">
        <v>262.12</v>
      </c>
      <c r="H208" s="5">
        <f t="shared" si="49"/>
        <v>318.685496</v>
      </c>
      <c r="I208" s="32">
        <f t="shared" si="51"/>
        <v>1.3445061467480569E-3</v>
      </c>
      <c r="J208" s="5">
        <f t="shared" si="48"/>
        <v>3824.2259519999998</v>
      </c>
    </row>
    <row r="209" spans="1:10" ht="30" x14ac:dyDescent="0.25">
      <c r="A209" s="313" t="s">
        <v>20</v>
      </c>
      <c r="B209" s="3">
        <v>101946</v>
      </c>
      <c r="C209" s="313" t="s">
        <v>731</v>
      </c>
      <c r="D209" s="33" t="s">
        <v>563</v>
      </c>
      <c r="E209" s="3" t="s">
        <v>31</v>
      </c>
      <c r="F209" s="4">
        <v>2</v>
      </c>
      <c r="G209" s="5">
        <v>139.1</v>
      </c>
      <c r="H209" s="5">
        <f t="shared" ref="H209:H216" si="52">G209*1.2158</f>
        <v>169.11777999999998</v>
      </c>
      <c r="I209" s="32">
        <f t="shared" si="51"/>
        <v>1.1891551262313363E-4</v>
      </c>
      <c r="J209" s="5">
        <f t="shared" si="48"/>
        <v>338.23555999999996</v>
      </c>
    </row>
    <row r="210" spans="1:10" ht="30" x14ac:dyDescent="0.25">
      <c r="A210" s="313" t="s">
        <v>20</v>
      </c>
      <c r="B210" s="3" t="s">
        <v>806</v>
      </c>
      <c r="C210" s="313" t="s">
        <v>732</v>
      </c>
      <c r="D210" s="33" t="str">
        <f>COMPELE!A166</f>
        <v>QUADRO DE DISTRIBUIÇÃO BIFÁSICO, EM PVC, PARA 24 DISJUNTORES DIN, EMBUTIR. INSTALAÇÃO E FORNECIMENTO.</v>
      </c>
      <c r="E210" s="3" t="s">
        <v>31</v>
      </c>
      <c r="F210" s="4">
        <v>6</v>
      </c>
      <c r="G210" s="5">
        <f>COMPELE!F173</f>
        <v>366.72031999999996</v>
      </c>
      <c r="H210" s="5">
        <f t="shared" si="52"/>
        <v>445.85856505599992</v>
      </c>
      <c r="I210" s="32">
        <f t="shared" si="51"/>
        <v>9.4051908358273764E-4</v>
      </c>
      <c r="J210" s="5">
        <f t="shared" si="48"/>
        <v>2675.1513903359996</v>
      </c>
    </row>
    <row r="211" spans="1:10" ht="30" x14ac:dyDescent="0.25">
      <c r="A211" s="313" t="s">
        <v>20</v>
      </c>
      <c r="B211" s="3" t="s">
        <v>805</v>
      </c>
      <c r="C211" s="313" t="s">
        <v>733</v>
      </c>
      <c r="D211" s="33" t="str">
        <f>COMPELE!A155</f>
        <v>QUADRO DE DISTRIBUIÇÃO BIFÁSICO, EM PVC, PARA 36 DISJUNTORES DIN, EMBUTIR. INSTALAÇÃO E FORNECIMENTO.</v>
      </c>
      <c r="E211" s="3" t="s">
        <v>31</v>
      </c>
      <c r="F211" s="4">
        <v>1</v>
      </c>
      <c r="G211" s="5">
        <f>COMPELE!F162</f>
        <v>457.98031999999995</v>
      </c>
      <c r="H211" s="5">
        <f t="shared" si="52"/>
        <v>556.81247305599993</v>
      </c>
      <c r="I211" s="32">
        <f t="shared" si="51"/>
        <v>1.95761914177235E-4</v>
      </c>
      <c r="J211" s="5">
        <f t="shared" si="48"/>
        <v>556.81247305599993</v>
      </c>
    </row>
    <row r="212" spans="1:10" ht="30" x14ac:dyDescent="0.25">
      <c r="A212" s="313" t="s">
        <v>20</v>
      </c>
      <c r="B212" s="3" t="s">
        <v>807</v>
      </c>
      <c r="C212" s="313" t="s">
        <v>734</v>
      </c>
      <c r="D212" s="33" t="str">
        <f>COMPELE!A177</f>
        <v>QUADRO DE DISTRIBUIÇÃO TRIFÁSICO, EM PVC, PARA 36 DISJUNTORES DIN, SOBREPOR. INSTALAÇÃO E FORNECIMENTO.</v>
      </c>
      <c r="E212" s="3" t="s">
        <v>31</v>
      </c>
      <c r="F212" s="4">
        <v>1</v>
      </c>
      <c r="G212" s="5">
        <f>COMPELE!F184</f>
        <v>595.82032000000004</v>
      </c>
      <c r="H212" s="5">
        <f t="shared" si="52"/>
        <v>724.39834505600004</v>
      </c>
      <c r="I212" s="32">
        <f t="shared" si="51"/>
        <v>2.5468108836836637E-4</v>
      </c>
      <c r="J212" s="5">
        <f t="shared" si="48"/>
        <v>724.39834505600004</v>
      </c>
    </row>
    <row r="213" spans="1:10" ht="30" x14ac:dyDescent="0.25">
      <c r="A213" s="313" t="s">
        <v>20</v>
      </c>
      <c r="B213" s="3" t="s">
        <v>85</v>
      </c>
      <c r="C213" s="313" t="s">
        <v>735</v>
      </c>
      <c r="D213" s="28" t="str">
        <f>COMPELE!A10</f>
        <v>FORNECIMENTO E INSTALAÇÃO DE DISPOSITIVO DPS CLASSE II, 1 POLO, TENSÃO MAXIMA DE 275 V, CORRENTE MAXIMA DE 45 KA (TIPO AC)</v>
      </c>
      <c r="E213" s="3" t="s">
        <v>5</v>
      </c>
      <c r="F213" s="4">
        <v>32</v>
      </c>
      <c r="G213" s="5">
        <f>COMPELE!F15</f>
        <v>149.41199999999998</v>
      </c>
      <c r="H213" s="5">
        <f t="shared" si="52"/>
        <v>181.65510959999997</v>
      </c>
      <c r="I213" s="32">
        <f t="shared" si="51"/>
        <v>2.0436985848509147E-3</v>
      </c>
      <c r="J213" s="5">
        <f t="shared" si="48"/>
        <v>5812.9635071999992</v>
      </c>
    </row>
    <row r="214" spans="1:10" ht="30" x14ac:dyDescent="0.25">
      <c r="A214" s="313" t="s">
        <v>20</v>
      </c>
      <c r="B214" s="3" t="s">
        <v>150</v>
      </c>
      <c r="C214" s="313" t="s">
        <v>736</v>
      </c>
      <c r="D214" s="28" t="str">
        <f>COMPELE!A19</f>
        <v>FORNECIMENTO E INSTALAÇÃO DE DISPOSITIVO DPS CLASSE II, 1 POLO, TENSÃO MAXIMA DE 275 V, CORRENTE MAXIMA DE 90 KA (TIPO AC)</v>
      </c>
      <c r="E214" s="3" t="s">
        <v>5</v>
      </c>
      <c r="F214" s="4">
        <v>4</v>
      </c>
      <c r="G214" s="5">
        <f>COMPELE!F24</f>
        <v>234.572</v>
      </c>
      <c r="H214" s="5">
        <f t="shared" si="52"/>
        <v>285.19263760000001</v>
      </c>
      <c r="I214" s="32">
        <f t="shared" si="51"/>
        <v>4.0106757191996702E-4</v>
      </c>
      <c r="J214" s="5">
        <f t="shared" si="48"/>
        <v>1140.7705504</v>
      </c>
    </row>
    <row r="215" spans="1:10" x14ac:dyDescent="0.25">
      <c r="A215" s="313" t="s">
        <v>20</v>
      </c>
      <c r="B215" s="3" t="s">
        <v>558</v>
      </c>
      <c r="C215" s="313" t="s">
        <v>737</v>
      </c>
      <c r="D215" s="28" t="s">
        <v>88</v>
      </c>
      <c r="E215" s="3" t="s">
        <v>5</v>
      </c>
      <c r="F215" s="4">
        <v>10</v>
      </c>
      <c r="G215" s="5">
        <f>COMPELE!F44</f>
        <v>268.60870399999999</v>
      </c>
      <c r="H215" s="5">
        <f t="shared" si="52"/>
        <v>326.57446232320001</v>
      </c>
      <c r="I215" s="32">
        <f t="shared" si="51"/>
        <v>1.148157502918604E-3</v>
      </c>
      <c r="J215" s="5">
        <f t="shared" si="48"/>
        <v>3265.7446232319999</v>
      </c>
    </row>
    <row r="216" spans="1:10" ht="30" x14ac:dyDescent="0.25">
      <c r="A216" s="313" t="s">
        <v>20</v>
      </c>
      <c r="B216" s="3" t="s">
        <v>795</v>
      </c>
      <c r="C216" s="313" t="s">
        <v>738</v>
      </c>
      <c r="D216" s="28" t="str">
        <f>COMPELE!A37</f>
        <v>QUADRO DE DISTRIBUIÇÃO TRIFÁSICO, EM PVC, PARA 12 DISJUNTORES DIN, SOBREPOR. INSTALAÇÃO E FORNECIMENTO.</v>
      </c>
      <c r="E216" s="3" t="s">
        <v>31</v>
      </c>
      <c r="F216" s="4">
        <v>1</v>
      </c>
      <c r="G216" s="5">
        <f>COMPELE!F44</f>
        <v>268.60870399999999</v>
      </c>
      <c r="H216" s="5">
        <f t="shared" si="52"/>
        <v>326.57446232320001</v>
      </c>
      <c r="I216" s="32">
        <f t="shared" si="51"/>
        <v>1.1481575029186042E-4</v>
      </c>
      <c r="J216" s="5">
        <f t="shared" si="48"/>
        <v>326.57446232320001</v>
      </c>
    </row>
    <row r="217" spans="1:10" ht="18.75" customHeight="1" x14ac:dyDescent="0.25">
      <c r="A217" s="171"/>
      <c r="B217" s="171"/>
      <c r="C217" s="171" t="s">
        <v>248</v>
      </c>
      <c r="D217" s="171" t="s">
        <v>439</v>
      </c>
      <c r="E217" s="171"/>
      <c r="F217" s="171"/>
      <c r="G217" s="171"/>
      <c r="H217" s="171"/>
      <c r="I217" s="23">
        <f>(J217/J$225)</f>
        <v>2.668853575076497E-2</v>
      </c>
      <c r="J217" s="11">
        <f>SUM(J218:J220)</f>
        <v>75911.137547280014</v>
      </c>
    </row>
    <row r="218" spans="1:10" ht="18.75" customHeight="1" x14ac:dyDescent="0.25">
      <c r="A218" s="3" t="s">
        <v>20</v>
      </c>
      <c r="B218" s="3">
        <v>103946</v>
      </c>
      <c r="C218" s="3" t="s">
        <v>247</v>
      </c>
      <c r="D218" s="28" t="s">
        <v>519</v>
      </c>
      <c r="E218" s="27" t="s">
        <v>22</v>
      </c>
      <c r="F218" s="29">
        <v>3072.72</v>
      </c>
      <c r="G218" s="30">
        <v>18.53</v>
      </c>
      <c r="H218" s="30">
        <f>G218*1.2158</f>
        <v>22.528774000000002</v>
      </c>
      <c r="I218" s="32">
        <f>J218/J$225</f>
        <v>2.4337714558750872E-2</v>
      </c>
      <c r="J218" s="30">
        <f t="shared" ref="J218:J220" si="53">H218*F218</f>
        <v>69224.614445280007</v>
      </c>
    </row>
    <row r="219" spans="1:10" ht="36.75" customHeight="1" x14ac:dyDescent="0.25">
      <c r="A219" s="3" t="s">
        <v>20</v>
      </c>
      <c r="B219" s="3">
        <v>100619</v>
      </c>
      <c r="C219" s="3" t="s">
        <v>249</v>
      </c>
      <c r="D219" s="28" t="s">
        <v>521</v>
      </c>
      <c r="E219" s="27" t="s">
        <v>31</v>
      </c>
      <c r="F219" s="29">
        <v>7</v>
      </c>
      <c r="G219" s="30">
        <v>572.01</v>
      </c>
      <c r="H219" s="30">
        <f t="shared" ref="H219:H220" si="54">G219*1.2158</f>
        <v>695.44975799999997</v>
      </c>
      <c r="I219" s="32">
        <f>J219/J$225</f>
        <v>1.7115242150571917E-3</v>
      </c>
      <c r="J219" s="30">
        <f t="shared" ref="J219" si="55">H219*F219</f>
        <v>4868.148306</v>
      </c>
    </row>
    <row r="220" spans="1:10" ht="29.25" customHeight="1" x14ac:dyDescent="0.25">
      <c r="A220" s="3" t="s">
        <v>20</v>
      </c>
      <c r="B220" s="3">
        <v>98510</v>
      </c>
      <c r="C220" s="3" t="s">
        <v>250</v>
      </c>
      <c r="D220" s="28" t="s">
        <v>520</v>
      </c>
      <c r="E220" s="27" t="s">
        <v>31</v>
      </c>
      <c r="F220" s="29">
        <v>14</v>
      </c>
      <c r="G220" s="30">
        <v>106.83</v>
      </c>
      <c r="H220" s="30">
        <f t="shared" si="54"/>
        <v>129.883914</v>
      </c>
      <c r="I220" s="32">
        <f t="shared" ref="I220" si="56">J220/J$225</f>
        <v>6.3929697695690559E-4</v>
      </c>
      <c r="J220" s="5">
        <f t="shared" si="53"/>
        <v>1818.3747960000001</v>
      </c>
    </row>
    <row r="221" spans="1:10" ht="18.75" customHeight="1" x14ac:dyDescent="0.25">
      <c r="A221" s="179"/>
      <c r="B221" s="179"/>
      <c r="C221" s="179" t="s">
        <v>251</v>
      </c>
      <c r="D221" s="179" t="s">
        <v>486</v>
      </c>
      <c r="E221" s="179"/>
      <c r="F221" s="179"/>
      <c r="G221" s="179"/>
      <c r="H221" s="179"/>
      <c r="I221" s="23">
        <f>(J221/J$225)</f>
        <v>1.1501284399138764E-2</v>
      </c>
      <c r="J221" s="11">
        <f>SUM(J222)</f>
        <v>32713.506283999999</v>
      </c>
    </row>
    <row r="222" spans="1:10" ht="18.75" customHeight="1" x14ac:dyDescent="0.25">
      <c r="A222" s="3" t="s">
        <v>58</v>
      </c>
      <c r="B222" s="3" t="s">
        <v>815</v>
      </c>
      <c r="C222" s="3" t="s">
        <v>252</v>
      </c>
      <c r="D222" s="142" t="s">
        <v>518</v>
      </c>
      <c r="E222" s="27" t="s">
        <v>31</v>
      </c>
      <c r="F222" s="29">
        <v>1</v>
      </c>
      <c r="G222" s="30">
        <f>'COMP-PLAYGROUND'!H22</f>
        <v>26906.98</v>
      </c>
      <c r="H222" s="5">
        <f>G222*1.2158</f>
        <v>32713.506283999999</v>
      </c>
      <c r="I222" s="32">
        <f t="shared" ref="I222" si="57">J222/J$225</f>
        <v>1.1501284399138764E-2</v>
      </c>
      <c r="J222" s="5">
        <f t="shared" ref="J222" si="58">H222*F222</f>
        <v>32713.506283999999</v>
      </c>
    </row>
    <row r="223" spans="1:10" x14ac:dyDescent="0.25">
      <c r="A223" s="16"/>
      <c r="B223" s="16"/>
      <c r="C223" s="16" t="s">
        <v>253</v>
      </c>
      <c r="D223" s="16" t="s">
        <v>299</v>
      </c>
      <c r="E223" s="16"/>
      <c r="F223" s="16"/>
      <c r="G223" s="16"/>
      <c r="H223" s="16"/>
      <c r="I223" s="23">
        <f>(J223/J$225)</f>
        <v>2.3427065547328694E-3</v>
      </c>
      <c r="J223" s="11">
        <f>SUM(J224:J224)</f>
        <v>6663.4423547999995</v>
      </c>
    </row>
    <row r="224" spans="1:10" x14ac:dyDescent="0.25">
      <c r="A224" s="3" t="s">
        <v>20</v>
      </c>
      <c r="B224" s="3">
        <v>99814</v>
      </c>
      <c r="C224" s="3" t="s">
        <v>254</v>
      </c>
      <c r="D224" s="28" t="s">
        <v>473</v>
      </c>
      <c r="E224" s="27" t="s">
        <v>22</v>
      </c>
      <c r="F224" s="29">
        <v>3321.64</v>
      </c>
      <c r="G224" s="30">
        <v>1.65</v>
      </c>
      <c r="H224" s="30">
        <f>G224*1.2158</f>
        <v>2.0060699999999998</v>
      </c>
      <c r="I224" s="32">
        <f>J224/J$225</f>
        <v>2.3427065547328694E-3</v>
      </c>
      <c r="J224" s="30">
        <f t="shared" ref="J224" si="59">H224*F224</f>
        <v>6663.4423547999995</v>
      </c>
    </row>
    <row r="225" spans="1:10" x14ac:dyDescent="0.25">
      <c r="A225" s="469" t="s">
        <v>34</v>
      </c>
      <c r="B225" s="470"/>
      <c r="C225" s="470"/>
      <c r="D225" s="470"/>
      <c r="E225" s="470"/>
      <c r="F225" s="470"/>
      <c r="G225" s="470"/>
      <c r="H225" s="471"/>
      <c r="I225" s="23">
        <f>(J225/J$225)</f>
        <v>1</v>
      </c>
      <c r="J225" s="11">
        <f>SUM(J223,J143,J85,J76,J70,J54,J47,J43,J41,J36,J30,J19,J14,J10,J221,J217,)</f>
        <v>2844335.0454362854</v>
      </c>
    </row>
    <row r="227" spans="1:10" x14ac:dyDescent="0.25">
      <c r="A227" s="451" t="s">
        <v>843</v>
      </c>
      <c r="B227" s="451"/>
      <c r="C227" s="451"/>
      <c r="D227" s="451"/>
    </row>
    <row r="229" spans="1:10" x14ac:dyDescent="0.25">
      <c r="A229" s="410" t="s">
        <v>885</v>
      </c>
      <c r="B229" s="410"/>
      <c r="C229" s="410"/>
      <c r="D229" s="410"/>
      <c r="E229" s="410"/>
      <c r="F229" s="410"/>
      <c r="G229" s="410"/>
      <c r="H229" s="410"/>
      <c r="I229" s="410"/>
      <c r="J229" s="410"/>
    </row>
    <row r="230" spans="1:10" x14ac:dyDescent="0.25">
      <c r="D230" s="410"/>
      <c r="E230" s="410"/>
      <c r="F230" s="410"/>
      <c r="G230" s="410"/>
      <c r="H230" s="410"/>
      <c r="I230" s="410"/>
    </row>
    <row r="235" spans="1:10" x14ac:dyDescent="0.25">
      <c r="A235" s="410" t="s">
        <v>54</v>
      </c>
      <c r="B235" s="410"/>
      <c r="C235" s="410"/>
      <c r="D235" s="410"/>
      <c r="E235" s="410"/>
      <c r="F235" s="410"/>
      <c r="G235" s="410"/>
      <c r="H235" s="410"/>
      <c r="I235" s="410"/>
      <c r="J235" s="410"/>
    </row>
    <row r="236" spans="1:10" x14ac:dyDescent="0.25">
      <c r="A236" s="410" t="s">
        <v>279</v>
      </c>
      <c r="B236" s="410"/>
      <c r="C236" s="410"/>
      <c r="D236" s="410"/>
      <c r="E236" s="410"/>
      <c r="F236" s="410"/>
      <c r="G236" s="410"/>
      <c r="H236" s="410"/>
      <c r="I236" s="410"/>
      <c r="J236" s="410"/>
    </row>
    <row r="237" spans="1:10" x14ac:dyDescent="0.25">
      <c r="A237" s="410" t="s">
        <v>844</v>
      </c>
      <c r="B237" s="410"/>
      <c r="C237" s="410"/>
      <c r="D237" s="410"/>
      <c r="E237" s="410"/>
      <c r="F237" s="410"/>
      <c r="G237" s="410"/>
      <c r="H237" s="410"/>
      <c r="I237" s="410"/>
      <c r="J237" s="410"/>
    </row>
  </sheetData>
  <mergeCells count="26">
    <mergeCell ref="A1:J1"/>
    <mergeCell ref="A236:J236"/>
    <mergeCell ref="A237:J237"/>
    <mergeCell ref="A235:J235"/>
    <mergeCell ref="A6:J6"/>
    <mergeCell ref="A7:J7"/>
    <mergeCell ref="G8:J8"/>
    <mergeCell ref="A8:A9"/>
    <mergeCell ref="B8:B9"/>
    <mergeCell ref="C8:C9"/>
    <mergeCell ref="D8:D9"/>
    <mergeCell ref="E8:E9"/>
    <mergeCell ref="F8:F9"/>
    <mergeCell ref="H4:J5"/>
    <mergeCell ref="H2:J2"/>
    <mergeCell ref="H3:J3"/>
    <mergeCell ref="A225:H225"/>
    <mergeCell ref="A227:D227"/>
    <mergeCell ref="D230:I230"/>
    <mergeCell ref="B2:E2"/>
    <mergeCell ref="B3:E3"/>
    <mergeCell ref="B4:E4"/>
    <mergeCell ref="B5:E5"/>
    <mergeCell ref="F2:G3"/>
    <mergeCell ref="F4:G5"/>
    <mergeCell ref="A229:J229"/>
  </mergeCells>
  <phoneticPr fontId="8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4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pageSetUpPr fitToPage="1"/>
  </sheetPr>
  <dimension ref="A1:V35"/>
  <sheetViews>
    <sheetView tabSelected="1" view="pageBreakPreview" zoomScale="85" zoomScaleNormal="80" zoomScaleSheetLayoutView="85" workbookViewId="0">
      <selection activeCell="O29" sqref="O29"/>
    </sheetView>
  </sheetViews>
  <sheetFormatPr defaultRowHeight="15" x14ac:dyDescent="0.25"/>
  <cols>
    <col min="1" max="1" width="7.140625" bestFit="1" customWidth="1"/>
    <col min="2" max="2" width="48.7109375" customWidth="1"/>
    <col min="3" max="3" width="17.85546875" customWidth="1"/>
    <col min="4" max="4" width="14.42578125" bestFit="1" customWidth="1"/>
    <col min="6" max="6" width="15.140625" customWidth="1"/>
    <col min="8" max="8" width="16" customWidth="1"/>
    <col min="10" max="10" width="15.5703125" customWidth="1"/>
    <col min="12" max="12" width="15.140625" customWidth="1"/>
    <col min="13" max="13" width="11.140625" bestFit="1" customWidth="1"/>
    <col min="14" max="14" width="16.7109375" customWidth="1"/>
    <col min="16" max="16" width="15.5703125" customWidth="1"/>
    <col min="17" max="17" width="11.42578125" customWidth="1"/>
    <col min="18" max="18" width="15.7109375" customWidth="1"/>
    <col min="19" max="19" width="12.5703125" customWidth="1"/>
    <col min="20" max="20" width="15.7109375" customWidth="1"/>
    <col min="21" max="21" width="12.5703125" customWidth="1"/>
  </cols>
  <sheetData>
    <row r="1" spans="1:22" ht="63.75" customHeight="1" thickBot="1" x14ac:dyDescent="0.3">
      <c r="A1" s="495" t="s">
        <v>389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7"/>
    </row>
    <row r="2" spans="1:22" ht="15.75" customHeight="1" thickBot="1" x14ac:dyDescent="0.3">
      <c r="A2" s="143" t="s">
        <v>12</v>
      </c>
      <c r="B2" s="504" t="str">
        <f>'PLANILHA ORÇAMENTARIA'!$B$2:$E$2</f>
        <v>ESCOLA MUNICIPAL DOMINGOS AZZONLINI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6"/>
    </row>
    <row r="3" spans="1:22" ht="15.75" thickBot="1" x14ac:dyDescent="0.3">
      <c r="A3" s="144" t="s">
        <v>13</v>
      </c>
      <c r="B3" s="504" t="str">
        <f>'PLANILHA ORÇAMENTARIA'!$B$3:$E$3</f>
        <v>SANTO ANTÔNIO DO LESTE - MT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6"/>
    </row>
    <row r="4" spans="1:22" ht="15.75" thickBot="1" x14ac:dyDescent="0.3">
      <c r="A4" s="144" t="s">
        <v>14</v>
      </c>
      <c r="B4" s="504" t="str">
        <f>'PLANILHA ORÇAMENTARIA'!$B$4:$E$4</f>
        <v>PREFEITURA MUNICIPAL DE SANTO ANTÔNIO DO LESTE - MT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6"/>
    </row>
    <row r="5" spans="1:22" ht="15.75" thickBot="1" x14ac:dyDescent="0.3">
      <c r="A5" s="145" t="s">
        <v>15</v>
      </c>
      <c r="B5" s="507">
        <f>'PLANILHA ORÇAMENTARIA'!$B$5:$E$5</f>
        <v>44810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9"/>
    </row>
    <row r="6" spans="1:22" x14ac:dyDescent="0.25">
      <c r="A6" s="498"/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500"/>
    </row>
    <row r="7" spans="1:22" ht="20.25" thickBot="1" x14ac:dyDescent="0.3">
      <c r="A7" s="501" t="s">
        <v>67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3"/>
    </row>
    <row r="8" spans="1:22" x14ac:dyDescent="0.25">
      <c r="A8" s="491" t="s">
        <v>3</v>
      </c>
      <c r="B8" s="490" t="s">
        <v>4</v>
      </c>
      <c r="C8" s="490" t="s">
        <v>60</v>
      </c>
      <c r="D8" s="490" t="s">
        <v>61</v>
      </c>
      <c r="E8" s="490"/>
      <c r="F8" s="490" t="s">
        <v>65</v>
      </c>
      <c r="G8" s="490"/>
      <c r="H8" s="490" t="s">
        <v>66</v>
      </c>
      <c r="I8" s="490"/>
      <c r="J8" s="490" t="s">
        <v>379</v>
      </c>
      <c r="K8" s="490"/>
      <c r="L8" s="490" t="s">
        <v>380</v>
      </c>
      <c r="M8" s="490"/>
      <c r="N8" s="490" t="s">
        <v>381</v>
      </c>
      <c r="O8" s="494"/>
      <c r="P8" s="490" t="s">
        <v>845</v>
      </c>
      <c r="Q8" s="490"/>
      <c r="R8" s="490" t="s">
        <v>846</v>
      </c>
      <c r="S8" s="490"/>
      <c r="T8" s="490" t="s">
        <v>847</v>
      </c>
      <c r="U8" s="494"/>
    </row>
    <row r="9" spans="1:22" x14ac:dyDescent="0.25">
      <c r="A9" s="460"/>
      <c r="B9" s="461"/>
      <c r="C9" s="461"/>
      <c r="D9" s="134" t="s">
        <v>64</v>
      </c>
      <c r="E9" s="134" t="s">
        <v>57</v>
      </c>
      <c r="F9" s="134" t="s">
        <v>64</v>
      </c>
      <c r="G9" s="134" t="s">
        <v>57</v>
      </c>
      <c r="H9" s="134" t="s">
        <v>64</v>
      </c>
      <c r="I9" s="134" t="s">
        <v>57</v>
      </c>
      <c r="J9" s="134" t="s">
        <v>64</v>
      </c>
      <c r="K9" s="134" t="s">
        <v>57</v>
      </c>
      <c r="L9" s="134" t="s">
        <v>64</v>
      </c>
      <c r="M9" s="134" t="s">
        <v>57</v>
      </c>
      <c r="N9" s="134" t="s">
        <v>64</v>
      </c>
      <c r="O9" s="149" t="s">
        <v>57</v>
      </c>
      <c r="P9" s="322" t="s">
        <v>64</v>
      </c>
      <c r="Q9" s="322" t="s">
        <v>57</v>
      </c>
      <c r="R9" s="322" t="s">
        <v>64</v>
      </c>
      <c r="S9" s="322" t="s">
        <v>57</v>
      </c>
      <c r="T9" s="322" t="s">
        <v>64</v>
      </c>
      <c r="U9" s="323" t="s">
        <v>57</v>
      </c>
    </row>
    <row r="10" spans="1:22" x14ac:dyDescent="0.25">
      <c r="A10" s="71" t="str">
        <f>RESUMO!A10</f>
        <v>1.0</v>
      </c>
      <c r="B10" s="135" t="str">
        <f>RESUMO!B10</f>
        <v>SERVIÇOS PRELIMINÁRES</v>
      </c>
      <c r="C10" s="350">
        <f>RESUMO!C10</f>
        <v>151434.2481634854</v>
      </c>
      <c r="D10" s="147">
        <f>C10*E10</f>
        <v>53001.98685721989</v>
      </c>
      <c r="E10" s="148">
        <v>0.35</v>
      </c>
      <c r="F10" s="147">
        <f>C10*G10</f>
        <v>22715.137224522809</v>
      </c>
      <c r="G10" s="148">
        <v>0.15</v>
      </c>
      <c r="H10" s="147">
        <f>C10*I10</f>
        <v>15143.424816348541</v>
      </c>
      <c r="I10" s="148">
        <v>0.1</v>
      </c>
      <c r="J10" s="147">
        <f>C10*K10</f>
        <v>15143.424816348541</v>
      </c>
      <c r="K10" s="148">
        <v>0.1</v>
      </c>
      <c r="L10" s="147">
        <f>M10*C10</f>
        <v>15143.424816348541</v>
      </c>
      <c r="M10" s="148">
        <v>0.1</v>
      </c>
      <c r="N10" s="147">
        <f>O10*C10</f>
        <v>7571.7124081742704</v>
      </c>
      <c r="O10" s="150">
        <v>0.05</v>
      </c>
      <c r="P10" s="147">
        <f>Q10*C10</f>
        <v>7571.7124081742704</v>
      </c>
      <c r="Q10" s="148">
        <v>0.05</v>
      </c>
      <c r="R10" s="147">
        <f>S10*C10</f>
        <v>7571.7124081742704</v>
      </c>
      <c r="S10" s="148">
        <v>0.05</v>
      </c>
      <c r="T10" s="147">
        <f>U10*C10</f>
        <v>7571.7124081742704</v>
      </c>
      <c r="U10" s="150">
        <v>0.05</v>
      </c>
      <c r="V10" s="146">
        <f>E10+G10+I10+K10+M10+O10+Q10+S10+U10</f>
        <v>1</v>
      </c>
    </row>
    <row r="11" spans="1:22" x14ac:dyDescent="0.25">
      <c r="A11" s="71" t="str">
        <f>RESUMO!A11</f>
        <v>2.0</v>
      </c>
      <c r="B11" s="135" t="str">
        <f>'PLANILHA ORÇAMENTARIA'!D14</f>
        <v>MOVIMENTO DE TERRA - FUNDAÇÃO E VIGAS BALDRAME</v>
      </c>
      <c r="C11" s="350">
        <f>RESUMO!C11</f>
        <v>2042.8260495587351</v>
      </c>
      <c r="D11" s="147">
        <f>C11*E11</f>
        <v>2042.8260495587351</v>
      </c>
      <c r="E11" s="148">
        <v>1</v>
      </c>
      <c r="F11" s="147"/>
      <c r="G11" s="148">
        <f t="shared" ref="G11" si="0">F11/C11</f>
        <v>0</v>
      </c>
      <c r="H11" s="147"/>
      <c r="I11" s="148">
        <f t="shared" ref="I11" si="1">H11/C11</f>
        <v>0</v>
      </c>
      <c r="J11" s="147"/>
      <c r="K11" s="148">
        <f t="shared" ref="K11" si="2">J11/E11</f>
        <v>0</v>
      </c>
      <c r="L11" s="147"/>
      <c r="M11" s="148">
        <v>0</v>
      </c>
      <c r="N11" s="147"/>
      <c r="O11" s="150">
        <v>0</v>
      </c>
      <c r="P11" s="147"/>
      <c r="Q11" s="148">
        <v>0</v>
      </c>
      <c r="R11" s="147"/>
      <c r="S11" s="148">
        <v>0</v>
      </c>
      <c r="T11" s="147"/>
      <c r="U11" s="150">
        <v>0</v>
      </c>
      <c r="V11" s="146">
        <f t="shared" ref="V11:V25" si="3">E11+G11+I11+K11+M11+O11+Q11+S11+U11</f>
        <v>1</v>
      </c>
    </row>
    <row r="12" spans="1:22" x14ac:dyDescent="0.25">
      <c r="A12" s="71" t="str">
        <f>RESUMO!A12</f>
        <v>3.0</v>
      </c>
      <c r="B12" s="135" t="str">
        <f>'PLANILHA ORÇAMENTARIA'!D19</f>
        <v>FUNDAÇÃO  - SAPATA E VIGAS BALDRAME</v>
      </c>
      <c r="C12" s="350">
        <f>RESUMO!C12</f>
        <v>15637.80519187</v>
      </c>
      <c r="D12" s="147">
        <f>C12*E12</f>
        <v>15637.80519187</v>
      </c>
      <c r="E12" s="148">
        <v>1</v>
      </c>
      <c r="F12" s="147"/>
      <c r="G12" s="148">
        <v>0</v>
      </c>
      <c r="H12" s="147"/>
      <c r="I12" s="148">
        <v>0</v>
      </c>
      <c r="J12" s="147"/>
      <c r="K12" s="148">
        <v>0</v>
      </c>
      <c r="L12" s="147"/>
      <c r="M12" s="148">
        <v>0</v>
      </c>
      <c r="N12" s="147"/>
      <c r="O12" s="150">
        <v>0</v>
      </c>
      <c r="P12" s="147"/>
      <c r="Q12" s="148">
        <v>0</v>
      </c>
      <c r="R12" s="147"/>
      <c r="S12" s="148">
        <v>0</v>
      </c>
      <c r="T12" s="147"/>
      <c r="U12" s="150">
        <v>0</v>
      </c>
      <c r="V12" s="146">
        <f t="shared" si="3"/>
        <v>1</v>
      </c>
    </row>
    <row r="13" spans="1:22" x14ac:dyDescent="0.25">
      <c r="A13" s="71" t="str">
        <f>RESUMO!A13</f>
        <v>4.0</v>
      </c>
      <c r="B13" s="135" t="str">
        <f>'PLANILHA ORÇAMENTARIA'!D30</f>
        <v>PILAR</v>
      </c>
      <c r="C13" s="350">
        <f>RESUMO!C13</f>
        <v>8270.4174942000009</v>
      </c>
      <c r="D13" s="147"/>
      <c r="E13" s="148">
        <v>0</v>
      </c>
      <c r="F13" s="147">
        <f>C13*G13</f>
        <v>8270.4174942000009</v>
      </c>
      <c r="G13" s="148">
        <v>1</v>
      </c>
      <c r="H13" s="147"/>
      <c r="I13" s="148">
        <v>0</v>
      </c>
      <c r="J13" s="147"/>
      <c r="K13" s="148">
        <v>0</v>
      </c>
      <c r="L13" s="147"/>
      <c r="M13" s="148">
        <v>0</v>
      </c>
      <c r="N13" s="147"/>
      <c r="O13" s="150">
        <v>0</v>
      </c>
      <c r="P13" s="147"/>
      <c r="Q13" s="148">
        <v>0</v>
      </c>
      <c r="R13" s="147"/>
      <c r="S13" s="148">
        <v>0</v>
      </c>
      <c r="T13" s="147"/>
      <c r="U13" s="150">
        <v>0</v>
      </c>
      <c r="V13" s="146">
        <f t="shared" si="3"/>
        <v>1</v>
      </c>
    </row>
    <row r="14" spans="1:22" x14ac:dyDescent="0.25">
      <c r="A14" s="71" t="str">
        <f>RESUMO!A14</f>
        <v>5.0</v>
      </c>
      <c r="B14" s="135" t="str">
        <f>'PLANILHA ORÇAMENTARIA'!D36</f>
        <v>VIGAS</v>
      </c>
      <c r="C14" s="350">
        <f>RESUMO!C14</f>
        <v>9943.5540380000002</v>
      </c>
      <c r="D14" s="147"/>
      <c r="E14" s="148">
        <v>0</v>
      </c>
      <c r="F14" s="147">
        <f>G14*C14</f>
        <v>9943.5540380000002</v>
      </c>
      <c r="G14" s="148">
        <v>1</v>
      </c>
      <c r="H14" s="147"/>
      <c r="I14" s="148">
        <v>0</v>
      </c>
      <c r="J14" s="147"/>
      <c r="K14" s="148">
        <v>0</v>
      </c>
      <c r="L14" s="147"/>
      <c r="M14" s="148">
        <v>0</v>
      </c>
      <c r="N14" s="147"/>
      <c r="O14" s="150">
        <v>0</v>
      </c>
      <c r="P14" s="147"/>
      <c r="Q14" s="148">
        <v>0</v>
      </c>
      <c r="R14" s="147"/>
      <c r="S14" s="148">
        <v>0</v>
      </c>
      <c r="T14" s="147"/>
      <c r="U14" s="150">
        <v>0</v>
      </c>
      <c r="V14" s="146">
        <f t="shared" si="3"/>
        <v>1</v>
      </c>
    </row>
    <row r="15" spans="1:22" x14ac:dyDescent="0.25">
      <c r="A15" s="71" t="str">
        <f>RESUMO!A15</f>
        <v>6.0</v>
      </c>
      <c r="B15" s="135" t="str">
        <f>'PLANILHA ORÇAMENTARIA'!D41</f>
        <v>IMPERMEABILIZAÇÃO - VIGAS BALDRAMES</v>
      </c>
      <c r="C15" s="350">
        <f>RESUMO!C15</f>
        <v>2144.7234307680001</v>
      </c>
      <c r="D15" s="147">
        <f>E15*C15</f>
        <v>2144.7234307680001</v>
      </c>
      <c r="E15" s="148">
        <v>1</v>
      </c>
      <c r="F15" s="147"/>
      <c r="G15" s="148">
        <v>0</v>
      </c>
      <c r="H15" s="147"/>
      <c r="I15" s="148">
        <v>0</v>
      </c>
      <c r="J15" s="147"/>
      <c r="K15" s="148">
        <v>0</v>
      </c>
      <c r="L15" s="147"/>
      <c r="M15" s="148">
        <v>0</v>
      </c>
      <c r="N15" s="147"/>
      <c r="O15" s="150">
        <v>0</v>
      </c>
      <c r="P15" s="147"/>
      <c r="Q15" s="148">
        <v>0</v>
      </c>
      <c r="R15" s="147"/>
      <c r="S15" s="148">
        <v>0</v>
      </c>
      <c r="T15" s="147"/>
      <c r="U15" s="150">
        <v>0</v>
      </c>
      <c r="V15" s="146">
        <f t="shared" si="3"/>
        <v>1</v>
      </c>
    </row>
    <row r="16" spans="1:22" x14ac:dyDescent="0.25">
      <c r="A16" s="71" t="str">
        <f>RESUMO!A16</f>
        <v>7.0</v>
      </c>
      <c r="B16" s="135" t="str">
        <f>'PLANILHA ORÇAMENTARIA'!D43</f>
        <v>SISTEMA DE VEDAÇÃO (ALVENARIA)</v>
      </c>
      <c r="C16" s="350">
        <f>RESUMO!C16</f>
        <v>34430.819528700005</v>
      </c>
      <c r="D16" s="147"/>
      <c r="E16" s="148">
        <v>0</v>
      </c>
      <c r="F16" s="147"/>
      <c r="G16" s="148">
        <v>0</v>
      </c>
      <c r="H16" s="147">
        <f>I16*C16</f>
        <v>34430.819528700005</v>
      </c>
      <c r="I16" s="148">
        <v>1</v>
      </c>
      <c r="J16" s="147"/>
      <c r="K16" s="148">
        <v>0</v>
      </c>
      <c r="L16" s="147"/>
      <c r="M16" s="148">
        <v>0</v>
      </c>
      <c r="N16" s="147"/>
      <c r="O16" s="150">
        <v>0</v>
      </c>
      <c r="P16" s="147"/>
      <c r="Q16" s="148">
        <v>0</v>
      </c>
      <c r="R16" s="147"/>
      <c r="S16" s="148">
        <v>0</v>
      </c>
      <c r="T16" s="147"/>
      <c r="U16" s="150">
        <v>0</v>
      </c>
      <c r="V16" s="146">
        <f t="shared" si="3"/>
        <v>1</v>
      </c>
    </row>
    <row r="17" spans="1:22" x14ac:dyDescent="0.25">
      <c r="A17" s="71" t="str">
        <f>RESUMO!A17</f>
        <v>8.0</v>
      </c>
      <c r="B17" s="135" t="str">
        <f>'PLANILHA ORÇAMENTARIA'!D47</f>
        <v>PINTURA</v>
      </c>
      <c r="C17" s="350">
        <f>RESUMO!C17</f>
        <v>165134.17446125997</v>
      </c>
      <c r="D17" s="147"/>
      <c r="E17" s="148">
        <f t="shared" ref="E17:E21" si="4">D17/C17</f>
        <v>0</v>
      </c>
      <c r="F17" s="147"/>
      <c r="G17" s="148">
        <v>0</v>
      </c>
      <c r="H17" s="147"/>
      <c r="I17" s="148">
        <v>0</v>
      </c>
      <c r="J17" s="147"/>
      <c r="K17" s="148">
        <v>0</v>
      </c>
      <c r="L17" s="147"/>
      <c r="M17" s="148">
        <v>0</v>
      </c>
      <c r="N17" s="147"/>
      <c r="O17" s="150">
        <v>0</v>
      </c>
      <c r="P17" s="147"/>
      <c r="Q17" s="148">
        <v>0</v>
      </c>
      <c r="R17" s="147">
        <f>S17*C17</f>
        <v>132107.33956900798</v>
      </c>
      <c r="S17" s="148">
        <v>0.8</v>
      </c>
      <c r="T17" s="147">
        <f>U17*C17</f>
        <v>33026.834892251994</v>
      </c>
      <c r="U17" s="150">
        <v>0.2</v>
      </c>
      <c r="V17" s="146">
        <f t="shared" si="3"/>
        <v>1</v>
      </c>
    </row>
    <row r="18" spans="1:22" x14ac:dyDescent="0.25">
      <c r="A18" s="71" t="str">
        <f>RESUMO!A18</f>
        <v>9.0</v>
      </c>
      <c r="B18" s="135" t="str">
        <f>'PLANILHA ORÇAMENTARIA'!D54</f>
        <v>SISTEMA DE COBERTURA</v>
      </c>
      <c r="C18" s="350">
        <f>RESUMO!C18</f>
        <v>1447864.4846169739</v>
      </c>
      <c r="D18" s="147"/>
      <c r="E18" s="148">
        <v>0</v>
      </c>
      <c r="F18" s="147"/>
      <c r="G18" s="148">
        <v>0</v>
      </c>
      <c r="H18" s="147">
        <f>I18*C18</f>
        <v>289572.89692339482</v>
      </c>
      <c r="I18" s="148">
        <v>0.2</v>
      </c>
      <c r="J18" s="147">
        <f>K18*C18</f>
        <v>579145.79384678963</v>
      </c>
      <c r="K18" s="148">
        <v>0.4</v>
      </c>
      <c r="L18" s="147">
        <f>M18*C18</f>
        <v>579145.79384678963</v>
      </c>
      <c r="M18" s="148">
        <v>0.4</v>
      </c>
      <c r="N18" s="147"/>
      <c r="O18" s="150">
        <v>0</v>
      </c>
      <c r="P18" s="147"/>
      <c r="Q18" s="148">
        <v>0</v>
      </c>
      <c r="R18" s="147"/>
      <c r="S18" s="148">
        <v>0</v>
      </c>
      <c r="T18" s="147"/>
      <c r="U18" s="150">
        <v>0</v>
      </c>
      <c r="V18" s="146">
        <f t="shared" si="3"/>
        <v>1</v>
      </c>
    </row>
    <row r="19" spans="1:22" x14ac:dyDescent="0.25">
      <c r="A19" s="71" t="str">
        <f>RESUMO!A19</f>
        <v>10.0</v>
      </c>
      <c r="B19" s="135" t="str">
        <f>'PLANILHA ORÇAMENTARIA'!D70</f>
        <v>PISOS E CONTRAPISOS</v>
      </c>
      <c r="C19" s="350">
        <f>RESUMO!C19</f>
        <v>486207.0184999085</v>
      </c>
      <c r="D19" s="147"/>
      <c r="E19" s="148">
        <f t="shared" si="4"/>
        <v>0</v>
      </c>
      <c r="F19" s="147"/>
      <c r="G19" s="148">
        <v>0</v>
      </c>
      <c r="H19" s="147"/>
      <c r="I19" s="148">
        <v>0</v>
      </c>
      <c r="J19" s="147"/>
      <c r="K19" s="148">
        <v>0</v>
      </c>
      <c r="L19" s="147"/>
      <c r="M19" s="148">
        <v>0</v>
      </c>
      <c r="N19" s="147">
        <f>O19*C19</f>
        <v>243103.50924995425</v>
      </c>
      <c r="O19" s="150">
        <v>0.5</v>
      </c>
      <c r="P19" s="147">
        <f>Q19*C19</f>
        <v>243103.50924995425</v>
      </c>
      <c r="Q19" s="148">
        <v>0.5</v>
      </c>
      <c r="R19" s="147"/>
      <c r="S19" s="148">
        <v>0</v>
      </c>
      <c r="T19" s="147"/>
      <c r="U19" s="150">
        <v>0</v>
      </c>
      <c r="V19" s="146">
        <f t="shared" si="3"/>
        <v>1</v>
      </c>
    </row>
    <row r="20" spans="1:22" x14ac:dyDescent="0.25">
      <c r="A20" s="71" t="str">
        <f>RESUMO!A20</f>
        <v>11.0</v>
      </c>
      <c r="B20" s="135" t="str">
        <f>'PLANILHA ORÇAMENTARIA'!D76</f>
        <v>ESQUADRIAS</v>
      </c>
      <c r="C20" s="350">
        <f>RESUMO!C20</f>
        <v>144697.54350857998</v>
      </c>
      <c r="D20" s="147"/>
      <c r="E20" s="148">
        <f t="shared" si="4"/>
        <v>0</v>
      </c>
      <c r="F20" s="147"/>
      <c r="G20" s="148">
        <v>0</v>
      </c>
      <c r="H20" s="147"/>
      <c r="I20" s="148">
        <v>0</v>
      </c>
      <c r="J20" s="147"/>
      <c r="K20" s="148">
        <v>0</v>
      </c>
      <c r="L20" s="147"/>
      <c r="M20" s="148">
        <v>0</v>
      </c>
      <c r="N20" s="147"/>
      <c r="O20" s="150">
        <v>0</v>
      </c>
      <c r="P20" s="147"/>
      <c r="Q20" s="148">
        <v>0</v>
      </c>
      <c r="R20" s="147">
        <f>S20*C20</f>
        <v>144697.54350857998</v>
      </c>
      <c r="S20" s="148">
        <v>1</v>
      </c>
      <c r="T20" s="147"/>
      <c r="U20" s="150">
        <v>0</v>
      </c>
      <c r="V20" s="146">
        <f t="shared" si="3"/>
        <v>1</v>
      </c>
    </row>
    <row r="21" spans="1:22" x14ac:dyDescent="0.25">
      <c r="A21" s="71" t="str">
        <f>RESUMO!A21</f>
        <v>12.0</v>
      </c>
      <c r="B21" s="135" t="str">
        <f>'PLANILHA ORÇAMENTARIA'!D85</f>
        <v>INSTALAÇÕES HIDROSSANITÁRIAS</v>
      </c>
      <c r="C21" s="350">
        <f>RESUMO!C21</f>
        <v>60349.674589375994</v>
      </c>
      <c r="D21" s="147"/>
      <c r="E21" s="148">
        <f t="shared" si="4"/>
        <v>0</v>
      </c>
      <c r="F21" s="147"/>
      <c r="G21" s="148">
        <v>0</v>
      </c>
      <c r="H21" s="147"/>
      <c r="I21" s="148">
        <v>0</v>
      </c>
      <c r="J21" s="147"/>
      <c r="K21" s="148">
        <v>0</v>
      </c>
      <c r="L21" s="147"/>
      <c r="M21" s="148">
        <v>0</v>
      </c>
      <c r="N21" s="147"/>
      <c r="O21" s="150">
        <v>0</v>
      </c>
      <c r="P21" s="147">
        <f>Q21*C21</f>
        <v>60349.674589375994</v>
      </c>
      <c r="Q21" s="148">
        <v>1</v>
      </c>
      <c r="R21" s="147"/>
      <c r="S21" s="148">
        <v>0</v>
      </c>
      <c r="T21" s="147"/>
      <c r="U21" s="150">
        <v>0</v>
      </c>
      <c r="V21" s="146">
        <f t="shared" si="3"/>
        <v>1</v>
      </c>
    </row>
    <row r="22" spans="1:22" x14ac:dyDescent="0.25">
      <c r="A22" s="71" t="str">
        <f>RESUMO!A22</f>
        <v>13.0</v>
      </c>
      <c r="B22" s="135" t="str">
        <f>'PLANILHA ORÇAMENTARIA'!D143</f>
        <v>INSTALAÇÕES ELÉTRICAS</v>
      </c>
      <c r="C22" s="350">
        <f>RESUMO!C22</f>
        <v>200889.6696775248</v>
      </c>
      <c r="D22" s="147"/>
      <c r="E22" s="148">
        <f>D22/C22</f>
        <v>0</v>
      </c>
      <c r="F22" s="147"/>
      <c r="G22" s="148">
        <f>F22/C22</f>
        <v>0</v>
      </c>
      <c r="H22" s="147">
        <f>I22*C22</f>
        <v>200889.6696775248</v>
      </c>
      <c r="I22" s="148">
        <v>1</v>
      </c>
      <c r="J22" s="147"/>
      <c r="K22" s="148">
        <v>0</v>
      </c>
      <c r="L22" s="147"/>
      <c r="M22" s="148">
        <v>0</v>
      </c>
      <c r="N22" s="147"/>
      <c r="O22" s="150">
        <v>0</v>
      </c>
      <c r="P22" s="147"/>
      <c r="Q22" s="148">
        <v>0</v>
      </c>
      <c r="R22" s="147"/>
      <c r="S22" s="148">
        <v>0</v>
      </c>
      <c r="T22" s="147"/>
      <c r="U22" s="150">
        <v>0</v>
      </c>
      <c r="V22" s="146">
        <f t="shared" si="3"/>
        <v>1</v>
      </c>
    </row>
    <row r="23" spans="1:22" x14ac:dyDescent="0.25">
      <c r="A23" s="71" t="str">
        <f>RESUMO!A23</f>
        <v>14.0</v>
      </c>
      <c r="B23" s="135" t="str">
        <f>'PLANILHA ORÇAMENTARIA'!D217</f>
        <v>PAISAGISMO</v>
      </c>
      <c r="C23" s="350">
        <f>RESUMO!C23</f>
        <v>75911.137547280014</v>
      </c>
      <c r="D23" s="147"/>
      <c r="E23" s="148">
        <f>D23/C23</f>
        <v>0</v>
      </c>
      <c r="F23" s="147"/>
      <c r="G23" s="148">
        <f>F23/C23</f>
        <v>0</v>
      </c>
      <c r="H23" s="147"/>
      <c r="I23" s="148">
        <v>0</v>
      </c>
      <c r="J23" s="147"/>
      <c r="K23" s="148">
        <v>0</v>
      </c>
      <c r="L23" s="147"/>
      <c r="M23" s="148">
        <v>0</v>
      </c>
      <c r="N23" s="147"/>
      <c r="O23" s="150">
        <v>0</v>
      </c>
      <c r="P23" s="147"/>
      <c r="Q23" s="148">
        <v>0</v>
      </c>
      <c r="R23" s="147"/>
      <c r="S23" s="148">
        <v>0</v>
      </c>
      <c r="T23" s="147">
        <f>U23*C23</f>
        <v>75911.137547280014</v>
      </c>
      <c r="U23" s="150">
        <v>1</v>
      </c>
      <c r="V23" s="146">
        <f t="shared" si="3"/>
        <v>1</v>
      </c>
    </row>
    <row r="24" spans="1:22" x14ac:dyDescent="0.25">
      <c r="A24" s="71" t="s">
        <v>251</v>
      </c>
      <c r="B24" s="135" t="str">
        <f>'PLANILHA ORÇAMENTARIA'!D221</f>
        <v>PLAYGROUND</v>
      </c>
      <c r="C24" s="350">
        <f>RESUMO!C24</f>
        <v>32713.506283999999</v>
      </c>
      <c r="D24" s="147"/>
      <c r="E24" s="148">
        <f>D24/C24</f>
        <v>0</v>
      </c>
      <c r="F24" s="147"/>
      <c r="G24" s="148">
        <f>F24/C24</f>
        <v>0</v>
      </c>
      <c r="H24" s="147"/>
      <c r="I24" s="148">
        <v>0</v>
      </c>
      <c r="J24" s="147"/>
      <c r="K24" s="148">
        <v>0</v>
      </c>
      <c r="L24" s="147"/>
      <c r="M24" s="148">
        <v>0</v>
      </c>
      <c r="N24" s="147"/>
      <c r="O24" s="150">
        <v>0</v>
      </c>
      <c r="P24" s="147"/>
      <c r="Q24" s="148">
        <v>0</v>
      </c>
      <c r="R24" s="147"/>
      <c r="S24" s="148">
        <v>0</v>
      </c>
      <c r="T24" s="147">
        <f>C24</f>
        <v>32713.506283999999</v>
      </c>
      <c r="U24" s="150">
        <v>1</v>
      </c>
      <c r="V24" s="146">
        <f t="shared" si="3"/>
        <v>1</v>
      </c>
    </row>
    <row r="25" spans="1:22" x14ac:dyDescent="0.25">
      <c r="A25" s="71" t="str">
        <f>RESUMO!A25</f>
        <v>16.0</v>
      </c>
      <c r="B25" s="135" t="str">
        <f>RESUMO!B25</f>
        <v xml:space="preserve">SERVIÇOS FINAIS COMPLEMENTARES </v>
      </c>
      <c r="C25" s="350">
        <f>RESUMO!C25</f>
        <v>6663.4423547999995</v>
      </c>
      <c r="D25" s="147"/>
      <c r="E25" s="148">
        <f t="shared" ref="E25" si="5">D25/C25</f>
        <v>0</v>
      </c>
      <c r="F25" s="147"/>
      <c r="G25" s="148">
        <f t="shared" ref="G25" si="6">F25/C25</f>
        <v>0</v>
      </c>
      <c r="H25" s="147"/>
      <c r="I25" s="148">
        <v>0</v>
      </c>
      <c r="J25" s="147"/>
      <c r="K25" s="148">
        <v>0</v>
      </c>
      <c r="L25" s="147"/>
      <c r="M25" s="148">
        <v>0</v>
      </c>
      <c r="N25" s="147"/>
      <c r="O25" s="150">
        <v>0</v>
      </c>
      <c r="P25" s="147"/>
      <c r="Q25" s="148">
        <v>0</v>
      </c>
      <c r="R25" s="147"/>
      <c r="S25" s="148">
        <v>0</v>
      </c>
      <c r="T25" s="147">
        <f>U25*C25</f>
        <v>6663.4423547999995</v>
      </c>
      <c r="U25" s="150">
        <v>1</v>
      </c>
      <c r="V25" s="146">
        <f t="shared" si="3"/>
        <v>1</v>
      </c>
    </row>
    <row r="26" spans="1:22" x14ac:dyDescent="0.25">
      <c r="A26" s="492" t="s">
        <v>62</v>
      </c>
      <c r="B26" s="493"/>
      <c r="C26" s="12">
        <f>SUM(C10:C25)</f>
        <v>2844335.0454362854</v>
      </c>
      <c r="D26" s="15">
        <f>SUM(D10:D25)</f>
        <v>72827.341529416633</v>
      </c>
      <c r="E26" s="17">
        <f>D26/$C$26</f>
        <v>2.5604347014697711E-2</v>
      </c>
      <c r="F26" s="15">
        <f>SUM(F10:F25)</f>
        <v>40929.10875672281</v>
      </c>
      <c r="G26" s="17">
        <f>F26/$C$26</f>
        <v>1.4389693233359854E-2</v>
      </c>
      <c r="H26" s="15">
        <f>SUM(H10:H25)</f>
        <v>540036.81094596814</v>
      </c>
      <c r="I26" s="17">
        <f>H26/$C$26</f>
        <v>0.18986399362917994</v>
      </c>
      <c r="J26" s="15">
        <f>SUM(J10:J25)</f>
        <v>594289.21866313822</v>
      </c>
      <c r="K26" s="17">
        <f>J26/$C$26</f>
        <v>0.20893783930858317</v>
      </c>
      <c r="L26" s="15">
        <f>SUM(L10:L25)</f>
        <v>594289.21866313822</v>
      </c>
      <c r="M26" s="17">
        <f>L26/$C$26</f>
        <v>0.20893783930858317</v>
      </c>
      <c r="N26" s="15">
        <f>SUM(N10:N25)</f>
        <v>250675.22165812852</v>
      </c>
      <c r="O26" s="151">
        <f>N26/$C$26</f>
        <v>8.8131397199614395E-2</v>
      </c>
      <c r="P26" s="15">
        <f>SUM(P10:P25)</f>
        <v>311024.89624750451</v>
      </c>
      <c r="Q26" s="17">
        <f>P26/$C$26</f>
        <v>0.10934889570992759</v>
      </c>
      <c r="R26" s="15">
        <f>SUM(R10:R25)</f>
        <v>284376.59548576223</v>
      </c>
      <c r="S26" s="17">
        <f>R26/$C$26</f>
        <v>9.997999213982979E-2</v>
      </c>
      <c r="T26" s="15">
        <f>SUM(T10:T25)</f>
        <v>155886.6334865063</v>
      </c>
      <c r="U26" s="151">
        <f>T26/$C$26</f>
        <v>5.4806002456224433E-2</v>
      </c>
    </row>
    <row r="27" spans="1:22" ht="15.75" thickBot="1" x14ac:dyDescent="0.3">
      <c r="A27" s="452" t="s">
        <v>63</v>
      </c>
      <c r="B27" s="453"/>
      <c r="C27" s="152"/>
      <c r="D27" s="153">
        <f>D26</f>
        <v>72827.341529416633</v>
      </c>
      <c r="E27" s="154">
        <f>D27/$C$26</f>
        <v>2.5604347014697711E-2</v>
      </c>
      <c r="F27" s="153">
        <f>F26+D27</f>
        <v>113756.45028613944</v>
      </c>
      <c r="G27" s="154">
        <f>F27/$C$26</f>
        <v>3.9994040248057562E-2</v>
      </c>
      <c r="H27" s="153">
        <f>H26+F27</f>
        <v>653793.26123210764</v>
      </c>
      <c r="I27" s="154">
        <f>H27/$C$26</f>
        <v>0.22985803387723752</v>
      </c>
      <c r="J27" s="153">
        <f>J26+H27</f>
        <v>1248082.4798952457</v>
      </c>
      <c r="K27" s="154">
        <f>J27/$C$26</f>
        <v>0.43879587318582064</v>
      </c>
      <c r="L27" s="153">
        <f>L26+J27</f>
        <v>1842371.6985583841</v>
      </c>
      <c r="M27" s="154">
        <f>L27/$C$26</f>
        <v>0.64773371249440392</v>
      </c>
      <c r="N27" s="153">
        <f>N26+L27</f>
        <v>2093046.9202165126</v>
      </c>
      <c r="O27" s="155">
        <f>N27/$C$26</f>
        <v>0.7358651096940183</v>
      </c>
      <c r="P27" s="153">
        <f>P26+N27</f>
        <v>2404071.8164640171</v>
      </c>
      <c r="Q27" s="154">
        <f>P27/$C$26</f>
        <v>0.84521400540394587</v>
      </c>
      <c r="R27" s="153">
        <f>R26+P27</f>
        <v>2688448.4119497794</v>
      </c>
      <c r="S27" s="154">
        <f>R27/$C$26</f>
        <v>0.94519399754377564</v>
      </c>
      <c r="T27" s="153">
        <f>T26+R27</f>
        <v>2844335.0454362854</v>
      </c>
      <c r="U27" s="155">
        <f>T27/$C$26</f>
        <v>1</v>
      </c>
    </row>
    <row r="29" spans="1:22" x14ac:dyDescent="0.25">
      <c r="A29" s="451" t="str">
        <f>'PLANILHA ORÇAMENTARIA'!A227:D227</f>
        <v>SANTO ANTONIO DO LESTE - MT, 06 DE SETEMBRO DE 2022</v>
      </c>
      <c r="B29" s="451"/>
      <c r="C29" s="451"/>
      <c r="D29" s="451"/>
      <c r="E29" s="451"/>
      <c r="F29" s="451"/>
      <c r="G29" s="451"/>
      <c r="H29" s="451"/>
      <c r="I29" s="451"/>
    </row>
    <row r="30" spans="1:22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22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3" spans="1:15" x14ac:dyDescent="0.25">
      <c r="A33" s="410" t="s">
        <v>54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</row>
    <row r="34" spans="1:15" x14ac:dyDescent="0.25">
      <c r="A34" s="410" t="s">
        <v>279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</row>
    <row r="35" spans="1:15" x14ac:dyDescent="0.25">
      <c r="A35" s="410" t="s">
        <v>285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</row>
  </sheetData>
  <mergeCells count="25">
    <mergeCell ref="P8:Q8"/>
    <mergeCell ref="R8:S8"/>
    <mergeCell ref="T8:U8"/>
    <mergeCell ref="A1:U1"/>
    <mergeCell ref="A6:U6"/>
    <mergeCell ref="A7:U7"/>
    <mergeCell ref="B2:U2"/>
    <mergeCell ref="B3:U3"/>
    <mergeCell ref="B4:U4"/>
    <mergeCell ref="B5:U5"/>
    <mergeCell ref="A33:O33"/>
    <mergeCell ref="A34:O34"/>
    <mergeCell ref="A35:O35"/>
    <mergeCell ref="A29:I29"/>
    <mergeCell ref="J8:K8"/>
    <mergeCell ref="H8:I8"/>
    <mergeCell ref="A27:B27"/>
    <mergeCell ref="D8:E8"/>
    <mergeCell ref="F8:G8"/>
    <mergeCell ref="A8:A9"/>
    <mergeCell ref="B8:B9"/>
    <mergeCell ref="C8:C9"/>
    <mergeCell ref="A26:B26"/>
    <mergeCell ref="L8:M8"/>
    <mergeCell ref="N8:O8"/>
  </mergeCells>
  <phoneticPr fontId="8" type="noConversion"/>
  <printOptions horizontalCentered="1"/>
  <pageMargins left="0.51181102362204722" right="0.51181102362204722" top="0.98425196850393704" bottom="0.98425196850393704" header="0.51181102362204722" footer="0.51181102362204722"/>
  <pageSetup paperSize="9" scale="44" orientation="landscape" r:id="rId1"/>
  <ignoredErrors>
    <ignoredError sqref="H27 F27 I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3" tint="-0.249977111117893"/>
    <pageSetUpPr fitToPage="1"/>
  </sheetPr>
  <dimension ref="A1:K28"/>
  <sheetViews>
    <sheetView tabSelected="1" view="pageBreakPreview" zoomScale="106" zoomScaleNormal="100" zoomScaleSheetLayoutView="106" workbookViewId="0">
      <selection activeCell="O29" sqref="O29"/>
    </sheetView>
  </sheetViews>
  <sheetFormatPr defaultRowHeight="15" x14ac:dyDescent="0.25"/>
  <cols>
    <col min="2" max="2" width="48" customWidth="1"/>
    <col min="3" max="3" width="13.5703125" customWidth="1"/>
    <col min="4" max="4" width="11.7109375" customWidth="1"/>
    <col min="5" max="5" width="9.28515625" customWidth="1"/>
    <col min="6" max="6" width="11.28515625" customWidth="1"/>
    <col min="7" max="7" width="21" customWidth="1"/>
    <col min="8" max="8" width="17" customWidth="1"/>
  </cols>
  <sheetData>
    <row r="1" spans="1:11" ht="61.5" customHeight="1" thickBot="1" x14ac:dyDescent="0.3">
      <c r="A1" s="521" t="s">
        <v>386</v>
      </c>
      <c r="B1" s="522"/>
      <c r="C1" s="522"/>
      <c r="D1" s="522"/>
      <c r="E1" s="522"/>
      <c r="F1" s="522"/>
      <c r="G1" s="522"/>
      <c r="H1" s="523"/>
      <c r="I1" s="18"/>
      <c r="J1" s="18"/>
      <c r="K1" s="19"/>
    </row>
    <row r="2" spans="1:11" x14ac:dyDescent="0.25">
      <c r="A2" s="113" t="s">
        <v>12</v>
      </c>
      <c r="B2" s="524" t="str">
        <f>'PLANILHA ORÇAMENTARIA'!B2:E2</f>
        <v>ESCOLA MUNICIPAL DOMINGOS AZZONLINI</v>
      </c>
      <c r="C2" s="524"/>
      <c r="D2" s="524"/>
      <c r="E2" s="524"/>
      <c r="F2" s="524"/>
      <c r="G2" s="524"/>
      <c r="H2" s="525"/>
    </row>
    <row r="3" spans="1:11" x14ac:dyDescent="0.25">
      <c r="A3" s="114" t="s">
        <v>13</v>
      </c>
      <c r="B3" s="465" t="str">
        <f>'PLANILHA ORÇAMENTARIA'!B3:E3</f>
        <v>SANTO ANTÔNIO DO LESTE - MT</v>
      </c>
      <c r="C3" s="465"/>
      <c r="D3" s="465"/>
      <c r="E3" s="465"/>
      <c r="F3" s="465"/>
      <c r="G3" s="465"/>
      <c r="H3" s="466"/>
    </row>
    <row r="4" spans="1:11" x14ac:dyDescent="0.25">
      <c r="A4" s="114" t="s">
        <v>14</v>
      </c>
      <c r="B4" s="465" t="str">
        <f>'PLANILHA ORÇAMENTARIA'!B4:E4</f>
        <v>PREFEITURA MUNICIPAL DE SANTO ANTÔNIO DO LESTE - MT</v>
      </c>
      <c r="C4" s="465"/>
      <c r="D4" s="465"/>
      <c r="E4" s="465"/>
      <c r="F4" s="465"/>
      <c r="G4" s="465"/>
      <c r="H4" s="466"/>
    </row>
    <row r="5" spans="1:11" ht="15.75" thickBot="1" x14ac:dyDescent="0.3">
      <c r="A5" s="115" t="s">
        <v>15</v>
      </c>
      <c r="B5" s="476">
        <f>'PLANILHA ORÇAMENTARIA'!B5:E5</f>
        <v>44810</v>
      </c>
      <c r="C5" s="476"/>
      <c r="D5" s="476"/>
      <c r="E5" s="476"/>
      <c r="F5" s="476"/>
      <c r="G5" s="476"/>
      <c r="H5" s="526"/>
    </row>
    <row r="6" spans="1:11" x14ac:dyDescent="0.25">
      <c r="A6" s="532" t="s">
        <v>297</v>
      </c>
      <c r="B6" s="533"/>
      <c r="C6" s="533"/>
      <c r="D6" s="533"/>
      <c r="E6" s="533"/>
      <c r="F6" s="533"/>
      <c r="G6" s="533"/>
      <c r="H6" s="534"/>
    </row>
    <row r="7" spans="1:11" x14ac:dyDescent="0.25">
      <c r="A7" s="535"/>
      <c r="B7" s="536"/>
      <c r="C7" s="536"/>
      <c r="D7" s="536"/>
      <c r="E7" s="536"/>
      <c r="F7" s="536"/>
      <c r="G7" s="536"/>
      <c r="H7" s="537"/>
    </row>
    <row r="8" spans="1:11" x14ac:dyDescent="0.25">
      <c r="A8" s="538" t="s">
        <v>38</v>
      </c>
      <c r="B8" s="539"/>
      <c r="C8" s="539"/>
      <c r="D8" s="539"/>
      <c r="E8" s="539"/>
      <c r="F8" s="539"/>
      <c r="G8" s="539"/>
      <c r="H8" s="540"/>
    </row>
    <row r="9" spans="1:11" x14ac:dyDescent="0.25">
      <c r="A9" s="538"/>
      <c r="B9" s="539"/>
      <c r="C9" s="539"/>
      <c r="D9" s="539"/>
      <c r="E9" s="539"/>
      <c r="F9" s="539"/>
      <c r="G9" s="539"/>
      <c r="H9" s="540"/>
    </row>
    <row r="10" spans="1:11" x14ac:dyDescent="0.25">
      <c r="A10" s="527" t="s">
        <v>30</v>
      </c>
      <c r="B10" s="528"/>
      <c r="C10" s="528"/>
      <c r="D10" s="528"/>
      <c r="E10" s="528"/>
      <c r="F10" s="528"/>
      <c r="G10" s="528"/>
      <c r="H10" s="529"/>
    </row>
    <row r="11" spans="1:11" ht="26.25" x14ac:dyDescent="0.25">
      <c r="A11" s="156" t="s">
        <v>294</v>
      </c>
      <c r="B11" s="6" t="s">
        <v>110</v>
      </c>
      <c r="C11" s="6" t="s">
        <v>155</v>
      </c>
      <c r="D11" s="6" t="s">
        <v>156</v>
      </c>
      <c r="E11" s="6" t="s">
        <v>157</v>
      </c>
      <c r="F11" s="7" t="s">
        <v>158</v>
      </c>
      <c r="G11" s="8" t="s">
        <v>33</v>
      </c>
      <c r="H11" s="157" t="s">
        <v>34</v>
      </c>
    </row>
    <row r="12" spans="1:11" ht="25.5" x14ac:dyDescent="0.25">
      <c r="A12" s="84">
        <v>90777</v>
      </c>
      <c r="B12" s="138" t="s">
        <v>98</v>
      </c>
      <c r="C12" s="137">
        <v>2</v>
      </c>
      <c r="D12" s="137">
        <v>22</v>
      </c>
      <c r="E12" s="137">
        <v>9</v>
      </c>
      <c r="F12" s="4">
        <f>C12*D12*E12</f>
        <v>396</v>
      </c>
      <c r="G12" s="5">
        <v>93.77</v>
      </c>
      <c r="H12" s="158">
        <f>G12*F12</f>
        <v>37132.92</v>
      </c>
    </row>
    <row r="13" spans="1:11" ht="25.5" x14ac:dyDescent="0.25">
      <c r="A13" s="84">
        <v>90780</v>
      </c>
      <c r="B13" s="138" t="s">
        <v>99</v>
      </c>
      <c r="C13" s="137">
        <v>8</v>
      </c>
      <c r="D13" s="137">
        <v>22</v>
      </c>
      <c r="E13" s="137">
        <v>9</v>
      </c>
      <c r="F13" s="4">
        <f t="shared" ref="F13" si="0">C13*D13*E13</f>
        <v>1584</v>
      </c>
      <c r="G13" s="5">
        <v>52.6</v>
      </c>
      <c r="H13" s="158">
        <f>G13*F13</f>
        <v>83318.400000000009</v>
      </c>
    </row>
    <row r="14" spans="1:11" ht="15.75" thickBot="1" x14ac:dyDescent="0.3">
      <c r="A14" s="510" t="s">
        <v>36</v>
      </c>
      <c r="B14" s="511"/>
      <c r="C14" s="511"/>
      <c r="D14" s="511"/>
      <c r="E14" s="511"/>
      <c r="F14" s="511"/>
      <c r="G14" s="511"/>
      <c r="H14" s="159">
        <f>SUM(H12:H13)</f>
        <v>120451.32</v>
      </c>
    </row>
    <row r="15" spans="1:11" ht="15.75" thickBot="1" x14ac:dyDescent="0.3">
      <c r="A15" s="530"/>
      <c r="B15" s="482"/>
      <c r="C15" s="482"/>
      <c r="D15" s="482"/>
      <c r="E15" s="482"/>
      <c r="F15" s="482"/>
      <c r="G15" s="482"/>
      <c r="H15" s="531"/>
    </row>
    <row r="16" spans="1:11" x14ac:dyDescent="0.25">
      <c r="A16" s="541" t="s">
        <v>68</v>
      </c>
      <c r="B16" s="542"/>
      <c r="C16" s="542"/>
      <c r="D16" s="542"/>
      <c r="E16" s="542"/>
      <c r="F16" s="542"/>
      <c r="G16" s="542"/>
      <c r="H16" s="543"/>
    </row>
    <row r="17" spans="1:8" x14ac:dyDescent="0.25">
      <c r="A17" s="538"/>
      <c r="B17" s="539"/>
      <c r="C17" s="539"/>
      <c r="D17" s="539"/>
      <c r="E17" s="539"/>
      <c r="F17" s="539"/>
      <c r="G17" s="539"/>
      <c r="H17" s="540"/>
    </row>
    <row r="18" spans="1:8" x14ac:dyDescent="0.25">
      <c r="A18" s="527" t="s">
        <v>190</v>
      </c>
      <c r="B18" s="528"/>
      <c r="C18" s="528"/>
      <c r="D18" s="528"/>
      <c r="E18" s="528"/>
      <c r="F18" s="528"/>
      <c r="G18" s="528"/>
      <c r="H18" s="529"/>
    </row>
    <row r="19" spans="1:8" x14ac:dyDescent="0.25">
      <c r="A19" s="160" t="s">
        <v>2</v>
      </c>
      <c r="B19" s="518" t="s">
        <v>110</v>
      </c>
      <c r="C19" s="519"/>
      <c r="D19" s="103" t="s">
        <v>31</v>
      </c>
      <c r="E19" s="512" t="s">
        <v>6</v>
      </c>
      <c r="F19" s="513"/>
      <c r="G19" s="8" t="s">
        <v>33</v>
      </c>
      <c r="H19" s="157" t="s">
        <v>34</v>
      </c>
    </row>
    <row r="20" spans="1:8" ht="39" customHeight="1" x14ac:dyDescent="0.25">
      <c r="A20" s="84">
        <v>4813</v>
      </c>
      <c r="B20" s="520" t="s">
        <v>152</v>
      </c>
      <c r="C20" s="520"/>
      <c r="D20" s="102" t="s">
        <v>22</v>
      </c>
      <c r="E20" s="514">
        <v>1</v>
      </c>
      <c r="F20" s="515"/>
      <c r="G20" s="5">
        <v>445</v>
      </c>
      <c r="H20" s="158">
        <f>G20*E20</f>
        <v>445</v>
      </c>
    </row>
    <row r="21" spans="1:8" ht="25.5" customHeight="1" x14ac:dyDescent="0.25">
      <c r="A21" s="84">
        <v>4517</v>
      </c>
      <c r="B21" s="517" t="s">
        <v>188</v>
      </c>
      <c r="C21" s="517"/>
      <c r="D21" s="102" t="s">
        <v>24</v>
      </c>
      <c r="E21" s="514">
        <v>1</v>
      </c>
      <c r="F21" s="515"/>
      <c r="G21" s="5">
        <v>3.48</v>
      </c>
      <c r="H21" s="158">
        <f t="shared" ref="H21:H25" si="1">G21*E21</f>
        <v>3.48</v>
      </c>
    </row>
    <row r="22" spans="1:8" ht="25.5" customHeight="1" x14ac:dyDescent="0.25">
      <c r="A22" s="84">
        <v>5068</v>
      </c>
      <c r="B22" s="517" t="s">
        <v>189</v>
      </c>
      <c r="C22" s="517"/>
      <c r="D22" s="102" t="s">
        <v>28</v>
      </c>
      <c r="E22" s="516">
        <v>0.15</v>
      </c>
      <c r="F22" s="516"/>
      <c r="G22" s="5">
        <v>26.28</v>
      </c>
      <c r="H22" s="158">
        <f t="shared" si="1"/>
        <v>3.9420000000000002</v>
      </c>
    </row>
    <row r="23" spans="1:8" ht="25.5" customHeight="1" x14ac:dyDescent="0.25">
      <c r="A23" s="84">
        <v>4491</v>
      </c>
      <c r="B23" s="517" t="s">
        <v>295</v>
      </c>
      <c r="C23" s="517"/>
      <c r="D23" s="102" t="s">
        <v>24</v>
      </c>
      <c r="E23" s="514">
        <v>4</v>
      </c>
      <c r="F23" s="515"/>
      <c r="G23" s="5">
        <v>9.9499999999999993</v>
      </c>
      <c r="H23" s="158">
        <f t="shared" si="1"/>
        <v>39.799999999999997</v>
      </c>
    </row>
    <row r="24" spans="1:8" ht="25.5" customHeight="1" x14ac:dyDescent="0.25">
      <c r="A24" s="84">
        <v>88262</v>
      </c>
      <c r="B24" s="517" t="s">
        <v>296</v>
      </c>
      <c r="C24" s="517"/>
      <c r="D24" s="102" t="s">
        <v>35</v>
      </c>
      <c r="E24" s="516">
        <v>1</v>
      </c>
      <c r="F24" s="516"/>
      <c r="G24" s="5">
        <v>22.16</v>
      </c>
      <c r="H24" s="158">
        <f t="shared" si="1"/>
        <v>22.16</v>
      </c>
    </row>
    <row r="25" spans="1:8" x14ac:dyDescent="0.25">
      <c r="A25" s="84">
        <v>88316</v>
      </c>
      <c r="B25" s="517" t="s">
        <v>91</v>
      </c>
      <c r="C25" s="517"/>
      <c r="D25" s="102" t="s">
        <v>35</v>
      </c>
      <c r="E25" s="516">
        <v>2</v>
      </c>
      <c r="F25" s="516"/>
      <c r="G25" s="5">
        <v>17.82</v>
      </c>
      <c r="H25" s="158">
        <f t="shared" si="1"/>
        <v>35.64</v>
      </c>
    </row>
    <row r="26" spans="1:8" ht="15.75" thickBot="1" x14ac:dyDescent="0.3">
      <c r="A26" s="510" t="s">
        <v>36</v>
      </c>
      <c r="B26" s="511"/>
      <c r="C26" s="511"/>
      <c r="D26" s="511"/>
      <c r="E26" s="511"/>
      <c r="F26" s="511"/>
      <c r="G26" s="511"/>
      <c r="H26" s="159">
        <f>SUM(H20:H25)</f>
        <v>550.02200000000005</v>
      </c>
    </row>
    <row r="28" spans="1:8" x14ac:dyDescent="0.25">
      <c r="A28" s="98"/>
      <c r="B28" s="98"/>
      <c r="C28" s="98"/>
      <c r="D28" s="98"/>
      <c r="E28" s="98"/>
      <c r="F28" s="98"/>
      <c r="G28" s="98"/>
      <c r="H28" s="98"/>
    </row>
  </sheetData>
  <mergeCells count="27">
    <mergeCell ref="A18:H18"/>
    <mergeCell ref="A15:H15"/>
    <mergeCell ref="A6:H7"/>
    <mergeCell ref="A14:G14"/>
    <mergeCell ref="A8:H9"/>
    <mergeCell ref="A10:H10"/>
    <mergeCell ref="A16:H17"/>
    <mergeCell ref="A1:H1"/>
    <mergeCell ref="B2:H2"/>
    <mergeCell ref="B3:H3"/>
    <mergeCell ref="B4:H4"/>
    <mergeCell ref="B5:H5"/>
    <mergeCell ref="A26:G26"/>
    <mergeCell ref="E19:F19"/>
    <mergeCell ref="E20:F20"/>
    <mergeCell ref="E21:F21"/>
    <mergeCell ref="E22:F22"/>
    <mergeCell ref="E24:F24"/>
    <mergeCell ref="E25:F25"/>
    <mergeCell ref="B24:C24"/>
    <mergeCell ref="B25:C25"/>
    <mergeCell ref="B19:C19"/>
    <mergeCell ref="E23:F23"/>
    <mergeCell ref="B20:C20"/>
    <mergeCell ref="B21:C21"/>
    <mergeCell ref="B22:C22"/>
    <mergeCell ref="B23:C23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2791-C80C-413A-876B-67F63344E109}">
  <sheetPr>
    <tabColor theme="3" tint="-0.249977111117893"/>
    <pageSetUpPr fitToPage="1"/>
  </sheetPr>
  <dimension ref="A1:K30"/>
  <sheetViews>
    <sheetView tabSelected="1" view="pageBreakPreview" zoomScale="98" zoomScaleNormal="100" zoomScaleSheetLayoutView="98" workbookViewId="0">
      <selection activeCell="O29" sqref="O29"/>
    </sheetView>
  </sheetViews>
  <sheetFormatPr defaultRowHeight="15" x14ac:dyDescent="0.25"/>
  <cols>
    <col min="1" max="1" width="17.7109375" customWidth="1"/>
    <col min="2" max="2" width="66" customWidth="1"/>
    <col min="4" max="4" width="9.5703125" bestFit="1" customWidth="1"/>
    <col min="5" max="5" width="17" bestFit="1" customWidth="1"/>
    <col min="6" max="6" width="14.28515625" bestFit="1" customWidth="1"/>
  </cols>
  <sheetData>
    <row r="1" spans="1:11" ht="61.5" customHeight="1" x14ac:dyDescent="0.25">
      <c r="A1" s="559" t="s">
        <v>386</v>
      </c>
      <c r="B1" s="559"/>
      <c r="C1" s="559"/>
      <c r="D1" s="559"/>
      <c r="E1" s="559"/>
      <c r="F1" s="559"/>
      <c r="G1" s="99"/>
      <c r="H1" s="99"/>
      <c r="I1" s="18"/>
      <c r="J1" s="18"/>
      <c r="K1" s="338"/>
    </row>
    <row r="2" spans="1:11" x14ac:dyDescent="0.25">
      <c r="A2" s="31" t="s">
        <v>12</v>
      </c>
      <c r="B2" s="474" t="str">
        <f>'PLANILHA ORÇAMENTARIA'!$B$2:$E$2</f>
        <v>ESCOLA MUNICIPAL DOMINGOS AZZONLINI</v>
      </c>
      <c r="C2" s="474"/>
      <c r="D2" s="474"/>
      <c r="E2" s="474"/>
      <c r="F2" s="474"/>
      <c r="G2" s="26"/>
      <c r="H2" s="26"/>
    </row>
    <row r="3" spans="1:11" x14ac:dyDescent="0.25">
      <c r="A3" s="31" t="s">
        <v>13</v>
      </c>
      <c r="B3" s="474" t="str">
        <f>'PLANILHA ORÇAMENTARIA'!$B$3:$E$3</f>
        <v>SANTO ANTÔNIO DO LESTE - MT</v>
      </c>
      <c r="C3" s="474"/>
      <c r="D3" s="474"/>
      <c r="E3" s="474"/>
      <c r="F3" s="474"/>
      <c r="G3" s="26"/>
      <c r="H3" s="26"/>
    </row>
    <row r="4" spans="1:11" x14ac:dyDescent="0.25">
      <c r="A4" s="31" t="s">
        <v>14</v>
      </c>
      <c r="B4" s="474" t="str">
        <f>'PLANILHA ORÇAMENTARIA'!$B$4:$E$4</f>
        <v>PREFEITURA MUNICIPAL DE SANTO ANTÔNIO DO LESTE - MT</v>
      </c>
      <c r="C4" s="474"/>
      <c r="D4" s="474"/>
      <c r="E4" s="474"/>
      <c r="F4" s="474"/>
      <c r="G4" s="26"/>
      <c r="H4" s="26"/>
    </row>
    <row r="5" spans="1:11" x14ac:dyDescent="0.25">
      <c r="A5" s="31" t="s">
        <v>15</v>
      </c>
      <c r="B5" s="467">
        <f>'PLANILHA ORÇAMENTARIA'!$B$5:$E$5</f>
        <v>44810</v>
      </c>
      <c r="C5" s="467"/>
      <c r="D5" s="467"/>
      <c r="E5" s="467"/>
      <c r="F5" s="467"/>
      <c r="G5" s="100"/>
      <c r="H5" s="100"/>
    </row>
    <row r="6" spans="1:11" ht="15" customHeight="1" x14ac:dyDescent="0.25">
      <c r="A6" s="560" t="s">
        <v>878</v>
      </c>
      <c r="B6" s="560"/>
      <c r="C6" s="560"/>
      <c r="D6" s="560"/>
      <c r="E6" s="560"/>
      <c r="F6" s="560"/>
      <c r="G6" s="101"/>
      <c r="H6" s="101"/>
    </row>
    <row r="7" spans="1:11" ht="15" customHeight="1" x14ac:dyDescent="0.25">
      <c r="A7" s="560"/>
      <c r="B7" s="560"/>
      <c r="C7" s="560"/>
      <c r="D7" s="560"/>
      <c r="E7" s="560"/>
      <c r="F7" s="560"/>
      <c r="G7" s="101"/>
      <c r="H7" s="101"/>
    </row>
    <row r="8" spans="1:11" ht="22.5" customHeight="1" x14ac:dyDescent="0.25">
      <c r="A8" s="550" t="s">
        <v>849</v>
      </c>
      <c r="B8" s="551"/>
      <c r="C8" s="551"/>
      <c r="D8" s="551"/>
      <c r="E8" s="551"/>
      <c r="F8" s="552"/>
    </row>
    <row r="9" spans="1:11" x14ac:dyDescent="0.25">
      <c r="A9" s="553"/>
      <c r="B9" s="554"/>
      <c r="C9" s="554"/>
      <c r="D9" s="554"/>
      <c r="E9" s="554"/>
      <c r="F9" s="555"/>
    </row>
    <row r="10" spans="1:11" ht="27" customHeight="1" x14ac:dyDescent="0.25">
      <c r="A10" s="556" t="s">
        <v>850</v>
      </c>
      <c r="B10" s="557"/>
      <c r="C10" s="557"/>
      <c r="D10" s="557"/>
      <c r="E10" s="557"/>
      <c r="F10" s="558"/>
    </row>
    <row r="11" spans="1:11" x14ac:dyDescent="0.25">
      <c r="A11" s="337" t="s">
        <v>294</v>
      </c>
      <c r="B11" s="336" t="s">
        <v>110</v>
      </c>
      <c r="C11" s="6" t="s">
        <v>31</v>
      </c>
      <c r="D11" s="7" t="s">
        <v>32</v>
      </c>
      <c r="E11" s="8" t="s">
        <v>33</v>
      </c>
      <c r="F11" s="8" t="s">
        <v>34</v>
      </c>
    </row>
    <row r="12" spans="1:11" ht="26.25" x14ac:dyDescent="0.25">
      <c r="A12" s="333">
        <v>4777</v>
      </c>
      <c r="B12" s="20" t="s">
        <v>851</v>
      </c>
      <c r="C12" s="334" t="s">
        <v>28</v>
      </c>
      <c r="D12" s="21">
        <v>76.3</v>
      </c>
      <c r="E12" s="5">
        <v>10.374000000000001</v>
      </c>
      <c r="F12" s="5">
        <f t="shared" ref="F12:F17" si="0">E12*D12</f>
        <v>791.53620000000001</v>
      </c>
    </row>
    <row r="13" spans="1:11" ht="15" customHeight="1" x14ac:dyDescent="0.25">
      <c r="A13" s="333">
        <v>10997</v>
      </c>
      <c r="B13" s="20" t="s">
        <v>860</v>
      </c>
      <c r="C13" s="334" t="s">
        <v>28</v>
      </c>
      <c r="D13" s="21">
        <v>0.73950000000000005</v>
      </c>
      <c r="E13" s="5">
        <v>31.3</v>
      </c>
      <c r="F13" s="5">
        <f t="shared" si="0"/>
        <v>23.146350000000002</v>
      </c>
    </row>
    <row r="14" spans="1:11" ht="26.25" x14ac:dyDescent="0.25">
      <c r="A14" s="333">
        <v>40598</v>
      </c>
      <c r="B14" s="20" t="s">
        <v>861</v>
      </c>
      <c r="C14" s="334" t="s">
        <v>28</v>
      </c>
      <c r="D14" s="21">
        <v>188.95</v>
      </c>
      <c r="E14" s="5">
        <v>10.92</v>
      </c>
      <c r="F14" s="5">
        <f t="shared" si="0"/>
        <v>2063.3339999999998</v>
      </c>
    </row>
    <row r="15" spans="1:11" ht="26.25" x14ac:dyDescent="0.25">
      <c r="A15" s="333">
        <v>8278</v>
      </c>
      <c r="B15" s="20" t="s">
        <v>854</v>
      </c>
      <c r="C15" s="334" t="s">
        <v>35</v>
      </c>
      <c r="D15" s="21">
        <v>4.0289999999999999</v>
      </c>
      <c r="E15" s="5">
        <v>16.13</v>
      </c>
      <c r="F15" s="5">
        <f t="shared" si="0"/>
        <v>64.987769999999998</v>
      </c>
    </row>
    <row r="16" spans="1:11" x14ac:dyDescent="0.25">
      <c r="A16" s="333">
        <v>88316</v>
      </c>
      <c r="B16" s="20" t="s">
        <v>91</v>
      </c>
      <c r="C16" s="334" t="s">
        <v>35</v>
      </c>
      <c r="D16" s="21">
        <v>0.92900000000000005</v>
      </c>
      <c r="E16" s="5">
        <v>17.82</v>
      </c>
      <c r="F16" s="5">
        <f t="shared" si="0"/>
        <v>16.554780000000001</v>
      </c>
    </row>
    <row r="17" spans="1:6" ht="26.25" x14ac:dyDescent="0.25">
      <c r="A17" s="333" t="s">
        <v>862</v>
      </c>
      <c r="B17" s="20" t="str">
        <f>A22</f>
        <v>INSTALAÇÃO DE TESOURA (INTEIRA OU MEIA), EM AÇO, PARA VÃOS DE 17,0 M, INCLUSO IÇAMENTO</v>
      </c>
      <c r="C17" s="334" t="s">
        <v>31</v>
      </c>
      <c r="D17" s="21">
        <v>1</v>
      </c>
      <c r="E17" s="5">
        <f>F29</f>
        <v>434.47072199999991</v>
      </c>
      <c r="F17" s="5">
        <f t="shared" si="0"/>
        <v>434.47072199999991</v>
      </c>
    </row>
    <row r="18" spans="1:6" x14ac:dyDescent="0.25">
      <c r="A18" s="544" t="s">
        <v>36</v>
      </c>
      <c r="B18" s="545"/>
      <c r="C18" s="545"/>
      <c r="D18" s="545"/>
      <c r="E18" s="546"/>
      <c r="F18" s="290">
        <f>SUM(F12:F17)</f>
        <v>3394.029822</v>
      </c>
    </row>
    <row r="19" spans="1:6" x14ac:dyDescent="0.25">
      <c r="A19" s="547"/>
      <c r="B19" s="548"/>
      <c r="C19" s="548"/>
      <c r="D19" s="548"/>
      <c r="E19" s="548"/>
      <c r="F19" s="549"/>
    </row>
    <row r="20" spans="1:6" x14ac:dyDescent="0.25">
      <c r="A20" s="550" t="s">
        <v>852</v>
      </c>
      <c r="B20" s="551"/>
      <c r="C20" s="551"/>
      <c r="D20" s="551"/>
      <c r="E20" s="551"/>
      <c r="F20" s="552"/>
    </row>
    <row r="21" spans="1:6" x14ac:dyDescent="0.25">
      <c r="A21" s="553"/>
      <c r="B21" s="554"/>
      <c r="C21" s="554"/>
      <c r="D21" s="554"/>
      <c r="E21" s="554"/>
      <c r="F21" s="555"/>
    </row>
    <row r="22" spans="1:6" ht="30" customHeight="1" x14ac:dyDescent="0.25">
      <c r="A22" s="556" t="s">
        <v>853</v>
      </c>
      <c r="B22" s="557"/>
      <c r="C22" s="557"/>
      <c r="D22" s="557"/>
      <c r="E22" s="557"/>
      <c r="F22" s="558"/>
    </row>
    <row r="23" spans="1:6" x14ac:dyDescent="0.25">
      <c r="A23" s="337" t="s">
        <v>294</v>
      </c>
      <c r="B23" s="336" t="s">
        <v>110</v>
      </c>
      <c r="C23" s="6" t="s">
        <v>31</v>
      </c>
      <c r="D23" s="7" t="s">
        <v>32</v>
      </c>
      <c r="E23" s="8" t="s">
        <v>33</v>
      </c>
      <c r="F23" s="8" t="s">
        <v>34</v>
      </c>
    </row>
    <row r="24" spans="1:6" ht="26.25" x14ac:dyDescent="0.25">
      <c r="A24" s="333">
        <v>11963</v>
      </c>
      <c r="B24" s="20" t="s">
        <v>859</v>
      </c>
      <c r="C24" s="334" t="s">
        <v>5</v>
      </c>
      <c r="D24" s="21">
        <v>12</v>
      </c>
      <c r="E24" s="5">
        <v>8.7899999999999991</v>
      </c>
      <c r="F24" s="5">
        <f t="shared" ref="F24:F28" si="1">E24*D24</f>
        <v>105.47999999999999</v>
      </c>
    </row>
    <row r="25" spans="1:6" ht="26.25" x14ac:dyDescent="0.25">
      <c r="A25" s="333">
        <v>88278</v>
      </c>
      <c r="B25" s="20" t="s">
        <v>854</v>
      </c>
      <c r="C25" s="334" t="s">
        <v>35</v>
      </c>
      <c r="D25" s="21">
        <v>11.247999999999999</v>
      </c>
      <c r="E25" s="5">
        <v>16.13</v>
      </c>
      <c r="F25" s="5">
        <f t="shared" si="1"/>
        <v>181.43023999999997</v>
      </c>
    </row>
    <row r="26" spans="1:6" ht="15" customHeight="1" x14ac:dyDescent="0.25">
      <c r="A26" s="333">
        <v>88316</v>
      </c>
      <c r="B26" s="20" t="s">
        <v>91</v>
      </c>
      <c r="C26" s="334" t="s">
        <v>35</v>
      </c>
      <c r="D26" s="21">
        <v>3.7440000000000002</v>
      </c>
      <c r="E26" s="5">
        <v>17.82</v>
      </c>
      <c r="F26" s="5">
        <f t="shared" si="1"/>
        <v>66.71808</v>
      </c>
    </row>
    <row r="27" spans="1:6" ht="45" customHeight="1" x14ac:dyDescent="0.25">
      <c r="A27" s="333">
        <v>93287</v>
      </c>
      <c r="B27" s="335" t="s">
        <v>855</v>
      </c>
      <c r="C27" s="334" t="s">
        <v>857</v>
      </c>
      <c r="D27" s="21">
        <v>0.1605</v>
      </c>
      <c r="E27" s="5">
        <v>307.3</v>
      </c>
      <c r="F27" s="5">
        <f t="shared" si="1"/>
        <v>49.321650000000005</v>
      </c>
    </row>
    <row r="28" spans="1:6" ht="39" x14ac:dyDescent="0.25">
      <c r="A28" s="333">
        <v>93288</v>
      </c>
      <c r="B28" s="20" t="s">
        <v>856</v>
      </c>
      <c r="C28" s="334" t="s">
        <v>858</v>
      </c>
      <c r="D28" s="21">
        <v>0.22239999999999999</v>
      </c>
      <c r="E28" s="5">
        <v>141.72999999999999</v>
      </c>
      <c r="F28" s="5">
        <f t="shared" si="1"/>
        <v>31.520751999999995</v>
      </c>
    </row>
    <row r="29" spans="1:6" x14ac:dyDescent="0.25">
      <c r="A29" s="544" t="s">
        <v>36</v>
      </c>
      <c r="B29" s="545"/>
      <c r="C29" s="545"/>
      <c r="D29" s="545"/>
      <c r="E29" s="546"/>
      <c r="F29" s="290">
        <f>SUM(F24:F28)</f>
        <v>434.47072199999991</v>
      </c>
    </row>
    <row r="30" spans="1:6" x14ac:dyDescent="0.25">
      <c r="A30" s="547"/>
      <c r="B30" s="548"/>
      <c r="C30" s="548"/>
      <c r="D30" s="548"/>
      <c r="E30" s="548"/>
      <c r="F30" s="549"/>
    </row>
  </sheetData>
  <mergeCells count="14">
    <mergeCell ref="A6:F7"/>
    <mergeCell ref="A1:F1"/>
    <mergeCell ref="B2:F2"/>
    <mergeCell ref="B3:F3"/>
    <mergeCell ref="B4:F4"/>
    <mergeCell ref="B5:F5"/>
    <mergeCell ref="A29:E29"/>
    <mergeCell ref="A30:F30"/>
    <mergeCell ref="A8:F9"/>
    <mergeCell ref="A10:F10"/>
    <mergeCell ref="A18:E18"/>
    <mergeCell ref="A19:F19"/>
    <mergeCell ref="A20:F21"/>
    <mergeCell ref="A22:F22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K184"/>
  <sheetViews>
    <sheetView tabSelected="1" view="pageBreakPreview" zoomScale="115" zoomScaleNormal="100" zoomScaleSheetLayoutView="115" workbookViewId="0">
      <selection activeCell="O29" sqref="O29"/>
    </sheetView>
  </sheetViews>
  <sheetFormatPr defaultRowHeight="15" x14ac:dyDescent="0.25"/>
  <cols>
    <col min="1" max="1" width="17.7109375" customWidth="1"/>
    <col min="2" max="2" width="64.85546875" bestFit="1" customWidth="1"/>
    <col min="5" max="5" width="17" bestFit="1" customWidth="1"/>
    <col min="6" max="6" width="14.28515625" bestFit="1" customWidth="1"/>
  </cols>
  <sheetData>
    <row r="1" spans="1:11" ht="61.5" customHeight="1" x14ac:dyDescent="0.25">
      <c r="A1" s="559" t="s">
        <v>386</v>
      </c>
      <c r="B1" s="559"/>
      <c r="C1" s="559"/>
      <c r="D1" s="559"/>
      <c r="E1" s="559"/>
      <c r="F1" s="559"/>
      <c r="G1" s="99"/>
      <c r="H1" s="99"/>
      <c r="I1" s="18"/>
      <c r="J1" s="18"/>
      <c r="K1" s="19"/>
    </row>
    <row r="2" spans="1:11" x14ac:dyDescent="0.25">
      <c r="A2" s="31" t="s">
        <v>12</v>
      </c>
      <c r="B2" s="474" t="str">
        <f>'PLANILHA ORÇAMENTARIA'!$B$2:$E$2</f>
        <v>ESCOLA MUNICIPAL DOMINGOS AZZONLINI</v>
      </c>
      <c r="C2" s="474"/>
      <c r="D2" s="474"/>
      <c r="E2" s="474"/>
      <c r="F2" s="474"/>
      <c r="G2" s="26"/>
      <c r="H2" s="26"/>
    </row>
    <row r="3" spans="1:11" x14ac:dyDescent="0.25">
      <c r="A3" s="31" t="s">
        <v>13</v>
      </c>
      <c r="B3" s="474" t="str">
        <f>'PLANILHA ORÇAMENTARIA'!$B$3:$E$3</f>
        <v>SANTO ANTÔNIO DO LESTE - MT</v>
      </c>
      <c r="C3" s="474"/>
      <c r="D3" s="474"/>
      <c r="E3" s="474"/>
      <c r="F3" s="474"/>
      <c r="G3" s="26"/>
      <c r="H3" s="26"/>
    </row>
    <row r="4" spans="1:11" x14ac:dyDescent="0.25">
      <c r="A4" s="31" t="s">
        <v>14</v>
      </c>
      <c r="B4" s="474" t="str">
        <f>'PLANILHA ORÇAMENTARIA'!$B$4:$E$4</f>
        <v>PREFEITURA MUNICIPAL DE SANTO ANTÔNIO DO LESTE - MT</v>
      </c>
      <c r="C4" s="474"/>
      <c r="D4" s="474"/>
      <c r="E4" s="474"/>
      <c r="F4" s="474"/>
      <c r="G4" s="26"/>
      <c r="H4" s="26"/>
    </row>
    <row r="5" spans="1:11" x14ac:dyDescent="0.25">
      <c r="A5" s="31" t="s">
        <v>15</v>
      </c>
      <c r="B5" s="467">
        <f>'PLANILHA ORÇAMENTARIA'!$B$5:$E$5</f>
        <v>44810</v>
      </c>
      <c r="C5" s="467"/>
      <c r="D5" s="467"/>
      <c r="E5" s="467"/>
      <c r="F5" s="467"/>
      <c r="G5" s="100"/>
      <c r="H5" s="100"/>
    </row>
    <row r="6" spans="1:11" ht="15" customHeight="1" x14ac:dyDescent="0.25">
      <c r="A6" s="560" t="s">
        <v>298</v>
      </c>
      <c r="B6" s="560"/>
      <c r="C6" s="560"/>
      <c r="D6" s="560"/>
      <c r="E6" s="560"/>
      <c r="F6" s="560"/>
      <c r="G6" s="101"/>
      <c r="H6" s="101"/>
    </row>
    <row r="7" spans="1:11" ht="15" customHeight="1" x14ac:dyDescent="0.25">
      <c r="A7" s="560"/>
      <c r="B7" s="560"/>
      <c r="C7" s="560"/>
      <c r="D7" s="560"/>
      <c r="E7" s="560"/>
      <c r="F7" s="560"/>
      <c r="G7" s="101"/>
      <c r="H7" s="101"/>
    </row>
    <row r="8" spans="1:11" ht="22.5" customHeight="1" x14ac:dyDescent="0.25">
      <c r="A8" s="550" t="s">
        <v>87</v>
      </c>
      <c r="B8" s="551"/>
      <c r="C8" s="551"/>
      <c r="D8" s="551"/>
      <c r="E8" s="551"/>
      <c r="F8" s="552"/>
    </row>
    <row r="9" spans="1:11" x14ac:dyDescent="0.25">
      <c r="A9" s="553"/>
      <c r="B9" s="554"/>
      <c r="C9" s="554"/>
      <c r="D9" s="554"/>
      <c r="E9" s="554"/>
      <c r="F9" s="555"/>
    </row>
    <row r="10" spans="1:11" ht="27" customHeight="1" x14ac:dyDescent="0.25">
      <c r="A10" s="556" t="s">
        <v>130</v>
      </c>
      <c r="B10" s="557"/>
      <c r="C10" s="557"/>
      <c r="D10" s="557"/>
      <c r="E10" s="557"/>
      <c r="F10" s="558"/>
    </row>
    <row r="11" spans="1:11" x14ac:dyDescent="0.25">
      <c r="A11" s="184" t="s">
        <v>294</v>
      </c>
      <c r="B11" s="183" t="s">
        <v>110</v>
      </c>
      <c r="C11" s="6" t="s">
        <v>31</v>
      </c>
      <c r="D11" s="7" t="s">
        <v>32</v>
      </c>
      <c r="E11" s="8" t="s">
        <v>33</v>
      </c>
      <c r="F11" s="8" t="s">
        <v>34</v>
      </c>
    </row>
    <row r="12" spans="1:11" ht="26.25" x14ac:dyDescent="0.25">
      <c r="A12" s="3">
        <v>39467</v>
      </c>
      <c r="B12" s="20" t="s">
        <v>118</v>
      </c>
      <c r="C12" s="181" t="s">
        <v>5</v>
      </c>
      <c r="D12" s="21">
        <v>1</v>
      </c>
      <c r="E12" s="5">
        <v>115.46</v>
      </c>
      <c r="F12" s="5">
        <f>E12*D12</f>
        <v>115.46</v>
      </c>
    </row>
    <row r="13" spans="1:11" ht="15" customHeight="1" x14ac:dyDescent="0.25">
      <c r="A13" s="3">
        <v>88264</v>
      </c>
      <c r="B13" s="20" t="s">
        <v>90</v>
      </c>
      <c r="C13" s="181" t="s">
        <v>35</v>
      </c>
      <c r="D13" s="21">
        <v>0.8</v>
      </c>
      <c r="E13" s="5">
        <v>23.24</v>
      </c>
      <c r="F13" s="5">
        <f>E13*D13</f>
        <v>18.591999999999999</v>
      </c>
    </row>
    <row r="14" spans="1:11" ht="15" customHeight="1" x14ac:dyDescent="0.25">
      <c r="A14" s="3">
        <v>88247</v>
      </c>
      <c r="B14" s="20" t="s">
        <v>129</v>
      </c>
      <c r="C14" s="181" t="s">
        <v>35</v>
      </c>
      <c r="D14" s="21">
        <v>0.8</v>
      </c>
      <c r="E14" s="5">
        <v>19.2</v>
      </c>
      <c r="F14" s="5">
        <f>E14*D14</f>
        <v>15.36</v>
      </c>
    </row>
    <row r="15" spans="1:11" x14ac:dyDescent="0.25">
      <c r="A15" s="544" t="s">
        <v>36</v>
      </c>
      <c r="B15" s="545"/>
      <c r="C15" s="545"/>
      <c r="D15" s="545"/>
      <c r="E15" s="546"/>
      <c r="F15" s="290">
        <f>SUM(F12:F14)</f>
        <v>149.41199999999998</v>
      </c>
    </row>
    <row r="16" spans="1:11" x14ac:dyDescent="0.25">
      <c r="A16" s="547"/>
      <c r="B16" s="548"/>
      <c r="C16" s="548"/>
      <c r="D16" s="548"/>
      <c r="E16" s="548"/>
      <c r="F16" s="549"/>
    </row>
    <row r="17" spans="1:6" ht="22.5" customHeight="1" x14ac:dyDescent="0.25">
      <c r="A17" s="550" t="s">
        <v>134</v>
      </c>
      <c r="B17" s="551"/>
      <c r="C17" s="551"/>
      <c r="D17" s="551"/>
      <c r="E17" s="551"/>
      <c r="F17" s="552"/>
    </row>
    <row r="18" spans="1:6" x14ac:dyDescent="0.25">
      <c r="A18" s="553"/>
      <c r="B18" s="554"/>
      <c r="C18" s="554"/>
      <c r="D18" s="554"/>
      <c r="E18" s="554"/>
      <c r="F18" s="555"/>
    </row>
    <row r="19" spans="1:6" ht="27" customHeight="1" x14ac:dyDescent="0.25">
      <c r="A19" s="556" t="s">
        <v>598</v>
      </c>
      <c r="B19" s="557"/>
      <c r="C19" s="557"/>
      <c r="D19" s="557"/>
      <c r="E19" s="557"/>
      <c r="F19" s="558"/>
    </row>
    <row r="20" spans="1:6" x14ac:dyDescent="0.25">
      <c r="A20" s="184" t="s">
        <v>294</v>
      </c>
      <c r="B20" s="183" t="s">
        <v>110</v>
      </c>
      <c r="C20" s="6" t="s">
        <v>31</v>
      </c>
      <c r="D20" s="7" t="s">
        <v>32</v>
      </c>
      <c r="E20" s="8" t="s">
        <v>33</v>
      </c>
      <c r="F20" s="8" t="s">
        <v>34</v>
      </c>
    </row>
    <row r="21" spans="1:6" ht="26.25" x14ac:dyDescent="0.25">
      <c r="A21" s="3">
        <v>39467</v>
      </c>
      <c r="B21" s="20" t="s">
        <v>597</v>
      </c>
      <c r="C21" s="181" t="s">
        <v>5</v>
      </c>
      <c r="D21" s="21">
        <v>1</v>
      </c>
      <c r="E21" s="5">
        <v>200.62</v>
      </c>
      <c r="F21" s="5">
        <f>E21*D21</f>
        <v>200.62</v>
      </c>
    </row>
    <row r="22" spans="1:6" ht="15" customHeight="1" x14ac:dyDescent="0.25">
      <c r="A22" s="3">
        <v>88264</v>
      </c>
      <c r="B22" s="20" t="s">
        <v>90</v>
      </c>
      <c r="C22" s="181" t="s">
        <v>35</v>
      </c>
      <c r="D22" s="21">
        <v>0.8</v>
      </c>
      <c r="E22" s="5">
        <v>23.24</v>
      </c>
      <c r="F22" s="5">
        <f>E22*D22</f>
        <v>18.591999999999999</v>
      </c>
    </row>
    <row r="23" spans="1:6" ht="15" customHeight="1" x14ac:dyDescent="0.25">
      <c r="A23" s="3">
        <v>88247</v>
      </c>
      <c r="B23" s="20" t="s">
        <v>129</v>
      </c>
      <c r="C23" s="181" t="s">
        <v>35</v>
      </c>
      <c r="D23" s="21">
        <v>0.8</v>
      </c>
      <c r="E23" s="5">
        <v>19.2</v>
      </c>
      <c r="F23" s="5">
        <f>E23*D23</f>
        <v>15.36</v>
      </c>
    </row>
    <row r="24" spans="1:6" x14ac:dyDescent="0.25">
      <c r="A24" s="544" t="s">
        <v>36</v>
      </c>
      <c r="B24" s="545"/>
      <c r="C24" s="545"/>
      <c r="D24" s="545"/>
      <c r="E24" s="546"/>
      <c r="F24" s="290">
        <f>SUM(F21:F23)</f>
        <v>234.572</v>
      </c>
    </row>
    <row r="25" spans="1:6" x14ac:dyDescent="0.25">
      <c r="A25" s="564"/>
      <c r="B25" s="564"/>
      <c r="C25" s="564"/>
      <c r="D25" s="564"/>
      <c r="E25" s="564"/>
      <c r="F25" s="564"/>
    </row>
    <row r="26" spans="1:6" x14ac:dyDescent="0.25">
      <c r="A26" s="539" t="s">
        <v>135</v>
      </c>
      <c r="B26" s="539"/>
      <c r="C26" s="539"/>
      <c r="D26" s="539"/>
      <c r="E26" s="539"/>
      <c r="F26" s="539"/>
    </row>
    <row r="27" spans="1:6" x14ac:dyDescent="0.25">
      <c r="A27" s="539"/>
      <c r="B27" s="539"/>
      <c r="C27" s="539"/>
      <c r="D27" s="539"/>
      <c r="E27" s="539"/>
      <c r="F27" s="539"/>
    </row>
    <row r="28" spans="1:6" x14ac:dyDescent="0.25">
      <c r="A28" s="561" t="s">
        <v>88</v>
      </c>
      <c r="B28" s="561"/>
      <c r="C28" s="561"/>
      <c r="D28" s="561"/>
      <c r="E28" s="561"/>
      <c r="F28" s="561"/>
    </row>
    <row r="29" spans="1:6" x14ac:dyDescent="0.25">
      <c r="A29" s="184" t="s">
        <v>294</v>
      </c>
      <c r="B29" s="183" t="s">
        <v>110</v>
      </c>
      <c r="C29" s="6" t="s">
        <v>31</v>
      </c>
      <c r="D29" s="7" t="s">
        <v>32</v>
      </c>
      <c r="E29" s="8" t="s">
        <v>33</v>
      </c>
      <c r="F29" s="8" t="s">
        <v>34</v>
      </c>
    </row>
    <row r="30" spans="1:6" ht="51.75" x14ac:dyDescent="0.25">
      <c r="A30" s="3">
        <v>37556</v>
      </c>
      <c r="B30" s="20" t="s">
        <v>92</v>
      </c>
      <c r="C30" s="181" t="s">
        <v>5</v>
      </c>
      <c r="D30" s="21">
        <v>1</v>
      </c>
      <c r="E30" s="5">
        <v>25.91</v>
      </c>
      <c r="F30" s="5">
        <f>E30*D30</f>
        <v>25.91</v>
      </c>
    </row>
    <row r="31" spans="1:6" ht="39" x14ac:dyDescent="0.25">
      <c r="A31" s="3">
        <v>11950</v>
      </c>
      <c r="B31" s="20" t="s">
        <v>93</v>
      </c>
      <c r="C31" s="181" t="s">
        <v>5</v>
      </c>
      <c r="D31" s="21">
        <v>2</v>
      </c>
      <c r="E31" s="5">
        <v>0.26</v>
      </c>
      <c r="F31" s="5">
        <f>E31*D31</f>
        <v>0.52</v>
      </c>
    </row>
    <row r="32" spans="1:6" x14ac:dyDescent="0.25">
      <c r="A32" s="3">
        <v>88247</v>
      </c>
      <c r="B32" s="20" t="s">
        <v>129</v>
      </c>
      <c r="C32" s="181" t="s">
        <v>35</v>
      </c>
      <c r="D32" s="21">
        <v>0.8</v>
      </c>
      <c r="E32" s="5">
        <v>19.2</v>
      </c>
      <c r="F32" s="5">
        <f>E32*D32</f>
        <v>15.36</v>
      </c>
    </row>
    <row r="33" spans="1:6" x14ac:dyDescent="0.25">
      <c r="A33" s="568" t="s">
        <v>36</v>
      </c>
      <c r="B33" s="568"/>
      <c r="C33" s="568"/>
      <c r="D33" s="568"/>
      <c r="E33" s="568"/>
      <c r="F33" s="290">
        <f>SUM(F30:F32)</f>
        <v>41.79</v>
      </c>
    </row>
    <row r="34" spans="1:6" x14ac:dyDescent="0.25">
      <c r="A34" s="564"/>
      <c r="B34" s="564"/>
      <c r="C34" s="564"/>
      <c r="D34" s="564"/>
      <c r="E34" s="564"/>
      <c r="F34" s="564"/>
    </row>
    <row r="35" spans="1:6" x14ac:dyDescent="0.25">
      <c r="A35" s="550" t="s">
        <v>136</v>
      </c>
      <c r="B35" s="551"/>
      <c r="C35" s="551"/>
      <c r="D35" s="551"/>
      <c r="E35" s="551"/>
      <c r="F35" s="552"/>
    </row>
    <row r="36" spans="1:6" x14ac:dyDescent="0.25">
      <c r="A36" s="553"/>
      <c r="B36" s="554"/>
      <c r="C36" s="554"/>
      <c r="D36" s="554"/>
      <c r="E36" s="554"/>
      <c r="F36" s="555"/>
    </row>
    <row r="37" spans="1:6" ht="30" customHeight="1" x14ac:dyDescent="0.25">
      <c r="A37" s="556" t="s">
        <v>596</v>
      </c>
      <c r="B37" s="557"/>
      <c r="C37" s="557"/>
      <c r="D37" s="557"/>
      <c r="E37" s="557"/>
      <c r="F37" s="558"/>
    </row>
    <row r="38" spans="1:6" x14ac:dyDescent="0.25">
      <c r="A38" s="184" t="s">
        <v>294</v>
      </c>
      <c r="B38" s="183" t="s">
        <v>110</v>
      </c>
      <c r="C38" s="6" t="s">
        <v>31</v>
      </c>
      <c r="D38" s="7" t="s">
        <v>32</v>
      </c>
      <c r="E38" s="8" t="s">
        <v>33</v>
      </c>
      <c r="F38" s="8" t="s">
        <v>34</v>
      </c>
    </row>
    <row r="39" spans="1:6" ht="26.25" x14ac:dyDescent="0.25">
      <c r="A39" s="3">
        <v>39801</v>
      </c>
      <c r="B39" s="182" t="s">
        <v>595</v>
      </c>
      <c r="C39" s="181" t="s">
        <v>31</v>
      </c>
      <c r="D39" s="21">
        <v>1</v>
      </c>
      <c r="E39" s="5">
        <v>115.08</v>
      </c>
      <c r="F39" s="5">
        <f>E39*D39</f>
        <v>115.08</v>
      </c>
    </row>
    <row r="40" spans="1:6" x14ac:dyDescent="0.25">
      <c r="A40" s="3" t="s">
        <v>565</v>
      </c>
      <c r="B40" s="182" t="s">
        <v>564</v>
      </c>
      <c r="C40" s="181" t="s">
        <v>31</v>
      </c>
      <c r="D40" s="21">
        <v>1</v>
      </c>
      <c r="E40" s="5">
        <v>87.43</v>
      </c>
      <c r="F40" s="5">
        <f>E40*D40</f>
        <v>87.43</v>
      </c>
    </row>
    <row r="41" spans="1:6" ht="39" x14ac:dyDescent="0.25">
      <c r="A41" s="3">
        <v>87367</v>
      </c>
      <c r="B41" s="182" t="s">
        <v>196</v>
      </c>
      <c r="C41" s="181" t="s">
        <v>23</v>
      </c>
      <c r="D41" s="21">
        <v>1.6E-2</v>
      </c>
      <c r="E41" s="5">
        <v>673.37</v>
      </c>
      <c r="F41" s="5">
        <f>E41*D41</f>
        <v>10.77392</v>
      </c>
    </row>
    <row r="42" spans="1:6" x14ac:dyDescent="0.25">
      <c r="A42" s="3">
        <v>88264</v>
      </c>
      <c r="B42" s="20" t="s">
        <v>90</v>
      </c>
      <c r="C42" s="181" t="s">
        <v>35</v>
      </c>
      <c r="D42" s="21">
        <v>1.3036000000000001</v>
      </c>
      <c r="E42" s="5">
        <v>23.24</v>
      </c>
      <c r="F42" s="5">
        <f>E42*D42</f>
        <v>30.295663999999999</v>
      </c>
    </row>
    <row r="43" spans="1:6" x14ac:dyDescent="0.25">
      <c r="A43" s="3">
        <v>88247</v>
      </c>
      <c r="B43" s="20" t="s">
        <v>129</v>
      </c>
      <c r="C43" s="181" t="s">
        <v>35</v>
      </c>
      <c r="D43" s="21">
        <v>1.3036000000000001</v>
      </c>
      <c r="E43" s="5">
        <v>19.2</v>
      </c>
      <c r="F43" s="5">
        <f>E43*D43</f>
        <v>25.029120000000002</v>
      </c>
    </row>
    <row r="44" spans="1:6" x14ac:dyDescent="0.25">
      <c r="A44" s="544" t="s">
        <v>36</v>
      </c>
      <c r="B44" s="545"/>
      <c r="C44" s="545"/>
      <c r="D44" s="545"/>
      <c r="E44" s="546"/>
      <c r="F44" s="290">
        <f>SUM(F39:F43)</f>
        <v>268.60870399999999</v>
      </c>
    </row>
    <row r="45" spans="1:6" x14ac:dyDescent="0.25">
      <c r="A45" s="565"/>
      <c r="B45" s="566"/>
      <c r="C45" s="566"/>
      <c r="D45" s="566"/>
      <c r="E45" s="566"/>
      <c r="F45" s="567"/>
    </row>
    <row r="46" spans="1:6" x14ac:dyDescent="0.25">
      <c r="A46" s="550" t="s">
        <v>331</v>
      </c>
      <c r="B46" s="551"/>
      <c r="C46" s="551"/>
      <c r="D46" s="551"/>
      <c r="E46" s="551"/>
      <c r="F46" s="552"/>
    </row>
    <row r="47" spans="1:6" x14ac:dyDescent="0.25">
      <c r="A47" s="553"/>
      <c r="B47" s="554"/>
      <c r="C47" s="554"/>
      <c r="D47" s="554"/>
      <c r="E47" s="554"/>
      <c r="F47" s="555"/>
    </row>
    <row r="48" spans="1:6" x14ac:dyDescent="0.25">
      <c r="A48" s="561" t="s">
        <v>594</v>
      </c>
      <c r="B48" s="561"/>
      <c r="C48" s="561"/>
      <c r="D48" s="561"/>
      <c r="E48" s="561"/>
      <c r="F48" s="561"/>
    </row>
    <row r="49" spans="1:6" x14ac:dyDescent="0.25">
      <c r="A49" s="184" t="s">
        <v>294</v>
      </c>
      <c r="B49" s="183" t="s">
        <v>110</v>
      </c>
      <c r="C49" s="6" t="s">
        <v>31</v>
      </c>
      <c r="D49" s="7" t="s">
        <v>32</v>
      </c>
      <c r="E49" s="8" t="s">
        <v>33</v>
      </c>
      <c r="F49" s="8" t="s">
        <v>34</v>
      </c>
    </row>
    <row r="50" spans="1:6" ht="26.25" x14ac:dyDescent="0.25">
      <c r="A50" s="306" t="s">
        <v>579</v>
      </c>
      <c r="B50" s="182" t="s">
        <v>578</v>
      </c>
      <c r="C50" s="181" t="s">
        <v>31</v>
      </c>
      <c r="D50" s="21">
        <v>2</v>
      </c>
      <c r="E50" s="5">
        <v>112.32</v>
      </c>
      <c r="F50" s="5">
        <f>E50*D50</f>
        <v>224.64</v>
      </c>
    </row>
    <row r="51" spans="1:6" ht="39" x14ac:dyDescent="0.25">
      <c r="A51" s="306">
        <v>12232</v>
      </c>
      <c r="B51" s="182" t="s">
        <v>197</v>
      </c>
      <c r="C51" s="181" t="s">
        <v>31</v>
      </c>
      <c r="D51" s="21">
        <v>1</v>
      </c>
      <c r="E51" s="5">
        <v>38.950000000000003</v>
      </c>
      <c r="F51" s="5">
        <f>E51*D51</f>
        <v>38.950000000000003</v>
      </c>
    </row>
    <row r="52" spans="1:6" x14ac:dyDescent="0.25">
      <c r="A52" s="306">
        <v>88264</v>
      </c>
      <c r="B52" s="20" t="s">
        <v>90</v>
      </c>
      <c r="C52" s="181" t="s">
        <v>35</v>
      </c>
      <c r="D52" s="21">
        <v>0.82879999999999998</v>
      </c>
      <c r="E52" s="5">
        <v>23.24</v>
      </c>
      <c r="F52" s="5">
        <f>E52*D52</f>
        <v>19.261311999999997</v>
      </c>
    </row>
    <row r="53" spans="1:6" x14ac:dyDescent="0.25">
      <c r="A53" s="306">
        <v>88247</v>
      </c>
      <c r="B53" s="20" t="s">
        <v>129</v>
      </c>
      <c r="C53" s="181" t="s">
        <v>35</v>
      </c>
      <c r="D53" s="21">
        <v>0.3453</v>
      </c>
      <c r="E53" s="5">
        <v>19.2</v>
      </c>
      <c r="F53" s="5">
        <f>E53*D53</f>
        <v>6.6297600000000001</v>
      </c>
    </row>
    <row r="54" spans="1:6" x14ac:dyDescent="0.25">
      <c r="A54" s="474" t="s">
        <v>577</v>
      </c>
      <c r="B54" s="474"/>
      <c r="C54" s="474"/>
      <c r="D54" s="474"/>
      <c r="E54" s="305"/>
      <c r="F54" s="290">
        <f>SUM(F50:F53)</f>
        <v>289.48107199999993</v>
      </c>
    </row>
    <row r="56" spans="1:6" x14ac:dyDescent="0.25">
      <c r="A56" s="550" t="s">
        <v>332</v>
      </c>
      <c r="B56" s="551"/>
      <c r="C56" s="551"/>
      <c r="D56" s="551"/>
      <c r="E56" s="551"/>
      <c r="F56" s="552"/>
    </row>
    <row r="57" spans="1:6" x14ac:dyDescent="0.25">
      <c r="A57" s="553"/>
      <c r="B57" s="554"/>
      <c r="C57" s="554"/>
      <c r="D57" s="554"/>
      <c r="E57" s="554"/>
      <c r="F57" s="555"/>
    </row>
    <row r="58" spans="1:6" ht="30" customHeight="1" x14ac:dyDescent="0.25">
      <c r="A58" s="556" t="s">
        <v>593</v>
      </c>
      <c r="B58" s="557"/>
      <c r="C58" s="557"/>
      <c r="D58" s="557"/>
      <c r="E58" s="557"/>
      <c r="F58" s="558"/>
    </row>
    <row r="59" spans="1:6" x14ac:dyDescent="0.25">
      <c r="A59" s="184" t="s">
        <v>294</v>
      </c>
      <c r="B59" s="183" t="s">
        <v>110</v>
      </c>
      <c r="C59" s="6" t="s">
        <v>31</v>
      </c>
      <c r="D59" s="7" t="s">
        <v>32</v>
      </c>
      <c r="E59" s="8" t="s">
        <v>33</v>
      </c>
      <c r="F59" s="8" t="s">
        <v>34</v>
      </c>
    </row>
    <row r="60" spans="1:6" ht="26.25" x14ac:dyDescent="0.25">
      <c r="A60" s="306">
        <v>12033</v>
      </c>
      <c r="B60" s="182" t="s">
        <v>592</v>
      </c>
      <c r="C60" s="181" t="s">
        <v>31</v>
      </c>
      <c r="D60" s="21">
        <v>1</v>
      </c>
      <c r="E60" s="5">
        <v>9.5500000000000007</v>
      </c>
      <c r="F60" s="5">
        <f>E60*D60</f>
        <v>9.5500000000000007</v>
      </c>
    </row>
    <row r="61" spans="1:6" x14ac:dyDescent="0.25">
      <c r="A61" s="306">
        <v>88264</v>
      </c>
      <c r="B61" s="20" t="s">
        <v>90</v>
      </c>
      <c r="C61" s="181" t="s">
        <v>35</v>
      </c>
      <c r="D61" s="21">
        <v>0.33650000000000002</v>
      </c>
      <c r="E61" s="5">
        <v>23.24</v>
      </c>
      <c r="F61" s="5">
        <f>E61*D61</f>
        <v>7.8202600000000002</v>
      </c>
    </row>
    <row r="62" spans="1:6" x14ac:dyDescent="0.25">
      <c r="A62" s="306">
        <v>88247</v>
      </c>
      <c r="B62" s="20" t="s">
        <v>129</v>
      </c>
      <c r="C62" s="181" t="s">
        <v>35</v>
      </c>
      <c r="D62" s="21">
        <v>0.33650000000000002</v>
      </c>
      <c r="E62" s="5">
        <v>19.2</v>
      </c>
      <c r="F62" s="5">
        <f>E62*D62</f>
        <v>6.4607999999999999</v>
      </c>
    </row>
    <row r="63" spans="1:6" x14ac:dyDescent="0.25">
      <c r="A63" s="475"/>
      <c r="B63" s="562"/>
      <c r="C63" s="562"/>
      <c r="D63" s="563"/>
      <c r="E63" s="305"/>
      <c r="F63" s="290">
        <f>SUM(F60:F62)</f>
        <v>23.831060000000001</v>
      </c>
    </row>
    <row r="65" spans="1:6" x14ac:dyDescent="0.25">
      <c r="A65" s="550" t="s">
        <v>784</v>
      </c>
      <c r="B65" s="551"/>
      <c r="C65" s="551"/>
      <c r="D65" s="551"/>
      <c r="E65" s="551"/>
      <c r="F65" s="552"/>
    </row>
    <row r="66" spans="1:6" x14ac:dyDescent="0.25">
      <c r="A66" s="553"/>
      <c r="B66" s="554"/>
      <c r="C66" s="554"/>
      <c r="D66" s="554"/>
      <c r="E66" s="554"/>
      <c r="F66" s="555"/>
    </row>
    <row r="67" spans="1:6" ht="30" customHeight="1" x14ac:dyDescent="0.25">
      <c r="A67" s="556" t="s">
        <v>591</v>
      </c>
      <c r="B67" s="557"/>
      <c r="C67" s="557"/>
      <c r="D67" s="557"/>
      <c r="E67" s="557"/>
      <c r="F67" s="558"/>
    </row>
    <row r="68" spans="1:6" x14ac:dyDescent="0.25">
      <c r="A68" s="184" t="s">
        <v>294</v>
      </c>
      <c r="B68" s="183" t="s">
        <v>110</v>
      </c>
      <c r="C68" s="6" t="s">
        <v>31</v>
      </c>
      <c r="D68" s="7" t="s">
        <v>32</v>
      </c>
      <c r="E68" s="8" t="s">
        <v>33</v>
      </c>
      <c r="F68" s="8" t="s">
        <v>34</v>
      </c>
    </row>
    <row r="69" spans="1:6" ht="26.25" x14ac:dyDescent="0.25">
      <c r="A69" s="306">
        <v>2641</v>
      </c>
      <c r="B69" s="182" t="s">
        <v>590</v>
      </c>
      <c r="C69" s="181" t="s">
        <v>31</v>
      </c>
      <c r="D69" s="21">
        <v>1</v>
      </c>
      <c r="E69" s="5">
        <v>31.36</v>
      </c>
      <c r="F69" s="5">
        <f>E69*D69</f>
        <v>31.36</v>
      </c>
    </row>
    <row r="70" spans="1:6" x14ac:dyDescent="0.25">
      <c r="A70" s="306">
        <v>88264</v>
      </c>
      <c r="B70" s="20" t="s">
        <v>90</v>
      </c>
      <c r="C70" s="181" t="s">
        <v>35</v>
      </c>
      <c r="D70" s="21">
        <v>0.42599999999999999</v>
      </c>
      <c r="E70" s="5">
        <v>23.24</v>
      </c>
      <c r="F70" s="5">
        <f>E70*D70</f>
        <v>9.9002399999999984</v>
      </c>
    </row>
    <row r="71" spans="1:6" x14ac:dyDescent="0.25">
      <c r="A71" s="306">
        <v>88247</v>
      </c>
      <c r="B71" s="20" t="s">
        <v>129</v>
      </c>
      <c r="C71" s="181" t="s">
        <v>35</v>
      </c>
      <c r="D71" s="21">
        <v>0.42599999999999999</v>
      </c>
      <c r="E71" s="5">
        <v>19.2</v>
      </c>
      <c r="F71" s="5">
        <f>E71*D71</f>
        <v>8.1791999999999998</v>
      </c>
    </row>
    <row r="72" spans="1:6" x14ac:dyDescent="0.25">
      <c r="A72" s="475"/>
      <c r="B72" s="562"/>
      <c r="C72" s="562"/>
      <c r="D72" s="563"/>
      <c r="E72" s="305"/>
      <c r="F72" s="290">
        <f>SUM(F69:F71)</f>
        <v>49.439439999999998</v>
      </c>
    </row>
    <row r="74" spans="1:6" x14ac:dyDescent="0.25">
      <c r="A74" s="550" t="s">
        <v>785</v>
      </c>
      <c r="B74" s="551"/>
      <c r="C74" s="551"/>
      <c r="D74" s="551"/>
      <c r="E74" s="551"/>
      <c r="F74" s="552"/>
    </row>
    <row r="75" spans="1:6" x14ac:dyDescent="0.25">
      <c r="A75" s="553"/>
      <c r="B75" s="554"/>
      <c r="C75" s="554"/>
      <c r="D75" s="554"/>
      <c r="E75" s="554"/>
      <c r="F75" s="555"/>
    </row>
    <row r="76" spans="1:6" x14ac:dyDescent="0.25">
      <c r="A76" s="556" t="s">
        <v>589</v>
      </c>
      <c r="B76" s="557"/>
      <c r="C76" s="557"/>
      <c r="D76" s="557"/>
      <c r="E76" s="557"/>
      <c r="F76" s="558"/>
    </row>
    <row r="77" spans="1:6" x14ac:dyDescent="0.25">
      <c r="A77" s="184" t="s">
        <v>294</v>
      </c>
      <c r="B77" s="183" t="s">
        <v>110</v>
      </c>
      <c r="C77" s="6" t="s">
        <v>31</v>
      </c>
      <c r="D77" s="7" t="s">
        <v>32</v>
      </c>
      <c r="E77" s="8" t="s">
        <v>33</v>
      </c>
      <c r="F77" s="8" t="s">
        <v>34</v>
      </c>
    </row>
    <row r="78" spans="1:6" ht="26.25" x14ac:dyDescent="0.25">
      <c r="A78" s="306">
        <v>1575</v>
      </c>
      <c r="B78" s="182" t="s">
        <v>582</v>
      </c>
      <c r="C78" s="181" t="s">
        <v>31</v>
      </c>
      <c r="D78" s="21">
        <v>3</v>
      </c>
      <c r="E78" s="5">
        <v>5.37</v>
      </c>
      <c r="F78" s="5">
        <f>E78*D78</f>
        <v>16.11</v>
      </c>
    </row>
    <row r="79" spans="1:6" x14ac:dyDescent="0.25">
      <c r="A79" s="306">
        <v>34714</v>
      </c>
      <c r="B79" s="182" t="s">
        <v>588</v>
      </c>
      <c r="C79" s="181" t="s">
        <v>31</v>
      </c>
      <c r="D79" s="21">
        <v>1</v>
      </c>
      <c r="E79" s="5">
        <v>84.13</v>
      </c>
      <c r="F79" s="5">
        <f>E79*D79</f>
        <v>84.13</v>
      </c>
    </row>
    <row r="80" spans="1:6" x14ac:dyDescent="0.25">
      <c r="A80" s="306">
        <v>88264</v>
      </c>
      <c r="B80" s="20" t="s">
        <v>90</v>
      </c>
      <c r="C80" s="181" t="s">
        <v>35</v>
      </c>
      <c r="D80" s="21">
        <v>0.78300000000000003</v>
      </c>
      <c r="E80" s="5">
        <v>23.24</v>
      </c>
      <c r="F80" s="5">
        <f>E80*D80</f>
        <v>18.196919999999999</v>
      </c>
    </row>
    <row r="81" spans="1:6" x14ac:dyDescent="0.25">
      <c r="A81" s="306">
        <v>88247</v>
      </c>
      <c r="B81" s="20" t="s">
        <v>129</v>
      </c>
      <c r="C81" s="181" t="s">
        <v>35</v>
      </c>
      <c r="D81" s="21">
        <v>0.78300000000000003</v>
      </c>
      <c r="E81" s="5">
        <v>19.2</v>
      </c>
      <c r="F81" s="5">
        <f>E81*D81</f>
        <v>15.0336</v>
      </c>
    </row>
    <row r="82" spans="1:6" x14ac:dyDescent="0.25">
      <c r="A82" s="475"/>
      <c r="B82" s="562"/>
      <c r="C82" s="562"/>
      <c r="D82" s="563"/>
      <c r="E82" s="305"/>
      <c r="F82" s="290">
        <f>SUM(F78:F81)</f>
        <v>133.47051999999999</v>
      </c>
    </row>
    <row r="84" spans="1:6" x14ac:dyDescent="0.25">
      <c r="A84" s="550" t="s">
        <v>786</v>
      </c>
      <c r="B84" s="551"/>
      <c r="C84" s="551"/>
      <c r="D84" s="551"/>
      <c r="E84" s="551"/>
      <c r="F84" s="552"/>
    </row>
    <row r="85" spans="1:6" x14ac:dyDescent="0.25">
      <c r="A85" s="553"/>
      <c r="B85" s="554"/>
      <c r="C85" s="554"/>
      <c r="D85" s="554"/>
      <c r="E85" s="554"/>
      <c r="F85" s="555"/>
    </row>
    <row r="86" spans="1:6" x14ac:dyDescent="0.25">
      <c r="A86" s="556" t="s">
        <v>587</v>
      </c>
      <c r="B86" s="557"/>
      <c r="C86" s="557"/>
      <c r="D86" s="557"/>
      <c r="E86" s="557"/>
      <c r="F86" s="558"/>
    </row>
    <row r="87" spans="1:6" x14ac:dyDescent="0.25">
      <c r="A87" s="184" t="s">
        <v>294</v>
      </c>
      <c r="B87" s="183" t="s">
        <v>110</v>
      </c>
      <c r="C87" s="6" t="s">
        <v>31</v>
      </c>
      <c r="D87" s="7" t="s">
        <v>32</v>
      </c>
      <c r="E87" s="8" t="s">
        <v>33</v>
      </c>
      <c r="F87" s="8" t="s">
        <v>34</v>
      </c>
    </row>
    <row r="88" spans="1:6" ht="26.25" x14ac:dyDescent="0.25">
      <c r="A88" s="306">
        <v>1575</v>
      </c>
      <c r="B88" s="182" t="s">
        <v>582</v>
      </c>
      <c r="C88" s="181" t="s">
        <v>31</v>
      </c>
      <c r="D88" s="21">
        <v>3</v>
      </c>
      <c r="E88" s="5">
        <v>5.37</v>
      </c>
      <c r="F88" s="5">
        <f>E88*D88</f>
        <v>16.11</v>
      </c>
    </row>
    <row r="89" spans="1:6" ht="26.25" x14ac:dyDescent="0.25">
      <c r="A89" s="306">
        <v>39445</v>
      </c>
      <c r="B89" s="182" t="s">
        <v>586</v>
      </c>
      <c r="C89" s="181" t="s">
        <v>31</v>
      </c>
      <c r="D89" s="21">
        <v>1</v>
      </c>
      <c r="E89" s="5">
        <v>154.43</v>
      </c>
      <c r="F89" s="5">
        <f>E89*D89</f>
        <v>154.43</v>
      </c>
    </row>
    <row r="90" spans="1:6" x14ac:dyDescent="0.25">
      <c r="A90" s="306">
        <v>88264</v>
      </c>
      <c r="B90" s="20" t="s">
        <v>90</v>
      </c>
      <c r="C90" s="181" t="s">
        <v>35</v>
      </c>
      <c r="D90" s="21">
        <v>0.6</v>
      </c>
      <c r="E90" s="5">
        <v>23.24</v>
      </c>
      <c r="F90" s="5">
        <f>E90*D90</f>
        <v>13.943999999999999</v>
      </c>
    </row>
    <row r="91" spans="1:6" x14ac:dyDescent="0.25">
      <c r="A91" s="306">
        <v>88247</v>
      </c>
      <c r="B91" s="20" t="s">
        <v>129</v>
      </c>
      <c r="C91" s="181" t="s">
        <v>35</v>
      </c>
      <c r="D91" s="21">
        <v>0.6</v>
      </c>
      <c r="E91" s="5">
        <v>19.2</v>
      </c>
      <c r="F91" s="5">
        <f>E91*D91</f>
        <v>11.52</v>
      </c>
    </row>
    <row r="92" spans="1:6" x14ac:dyDescent="0.25">
      <c r="A92" s="475"/>
      <c r="B92" s="562"/>
      <c r="C92" s="562"/>
      <c r="D92" s="563"/>
      <c r="E92" s="305"/>
      <c r="F92" s="290">
        <f>SUM(F88:F91)</f>
        <v>196.00400000000002</v>
      </c>
    </row>
    <row r="94" spans="1:6" x14ac:dyDescent="0.25">
      <c r="A94" s="550" t="s">
        <v>787</v>
      </c>
      <c r="B94" s="551"/>
      <c r="C94" s="551"/>
      <c r="D94" s="551"/>
      <c r="E94" s="551"/>
      <c r="F94" s="552"/>
    </row>
    <row r="95" spans="1:6" x14ac:dyDescent="0.25">
      <c r="A95" s="553"/>
      <c r="B95" s="554"/>
      <c r="C95" s="554"/>
      <c r="D95" s="554"/>
      <c r="E95" s="554"/>
      <c r="F95" s="555"/>
    </row>
    <row r="96" spans="1:6" x14ac:dyDescent="0.25">
      <c r="A96" s="556" t="s">
        <v>585</v>
      </c>
      <c r="B96" s="557"/>
      <c r="C96" s="557"/>
      <c r="D96" s="557"/>
      <c r="E96" s="557"/>
      <c r="F96" s="558"/>
    </row>
    <row r="97" spans="1:6" x14ac:dyDescent="0.25">
      <c r="A97" s="184" t="s">
        <v>294</v>
      </c>
      <c r="B97" s="183" t="s">
        <v>110</v>
      </c>
      <c r="C97" s="6" t="s">
        <v>31</v>
      </c>
      <c r="D97" s="7" t="s">
        <v>32</v>
      </c>
      <c r="E97" s="8" t="s">
        <v>33</v>
      </c>
      <c r="F97" s="8" t="s">
        <v>34</v>
      </c>
    </row>
    <row r="98" spans="1:6" ht="26.25" x14ac:dyDescent="0.25">
      <c r="A98" s="306">
        <v>1575</v>
      </c>
      <c r="B98" s="182" t="s">
        <v>582</v>
      </c>
      <c r="C98" s="181" t="s">
        <v>31</v>
      </c>
      <c r="D98" s="21">
        <v>3</v>
      </c>
      <c r="E98" s="5">
        <v>5.37</v>
      </c>
      <c r="F98" s="5">
        <f>E98*D98</f>
        <v>16.11</v>
      </c>
    </row>
    <row r="99" spans="1:6" ht="26.25" x14ac:dyDescent="0.25">
      <c r="A99" s="306">
        <v>39446</v>
      </c>
      <c r="B99" s="182" t="s">
        <v>584</v>
      </c>
      <c r="C99" s="181" t="s">
        <v>31</v>
      </c>
      <c r="D99" s="21">
        <v>1</v>
      </c>
      <c r="E99" s="5">
        <v>157.18</v>
      </c>
      <c r="F99" s="5">
        <f>E99*D99</f>
        <v>157.18</v>
      </c>
    </row>
    <row r="100" spans="1:6" x14ac:dyDescent="0.25">
      <c r="A100" s="306">
        <v>88264</v>
      </c>
      <c r="B100" s="20" t="s">
        <v>90</v>
      </c>
      <c r="C100" s="181" t="s">
        <v>35</v>
      </c>
      <c r="D100" s="21">
        <v>0.65</v>
      </c>
      <c r="E100" s="5">
        <v>23.24</v>
      </c>
      <c r="F100" s="5">
        <f>E100*D100</f>
        <v>15.106</v>
      </c>
    </row>
    <row r="101" spans="1:6" x14ac:dyDescent="0.25">
      <c r="A101" s="306">
        <v>88247</v>
      </c>
      <c r="B101" s="20" t="s">
        <v>129</v>
      </c>
      <c r="C101" s="181" t="s">
        <v>35</v>
      </c>
      <c r="D101" s="21">
        <v>0.65</v>
      </c>
      <c r="E101" s="5">
        <v>19.2</v>
      </c>
      <c r="F101" s="5">
        <f>E101*D101</f>
        <v>12.48</v>
      </c>
    </row>
    <row r="102" spans="1:6" x14ac:dyDescent="0.25">
      <c r="A102" s="475"/>
      <c r="B102" s="562"/>
      <c r="C102" s="562"/>
      <c r="D102" s="563"/>
      <c r="E102" s="305"/>
      <c r="F102" s="290">
        <f>SUM(F98:F101)</f>
        <v>200.876</v>
      </c>
    </row>
    <row r="104" spans="1:6" x14ac:dyDescent="0.25">
      <c r="A104" s="550" t="s">
        <v>753</v>
      </c>
      <c r="B104" s="551"/>
      <c r="C104" s="551"/>
      <c r="D104" s="551"/>
      <c r="E104" s="551"/>
      <c r="F104" s="552"/>
    </row>
    <row r="105" spans="1:6" x14ac:dyDescent="0.25">
      <c r="A105" s="553"/>
      <c r="B105" s="554"/>
      <c r="C105" s="554"/>
      <c r="D105" s="554"/>
      <c r="E105" s="554"/>
      <c r="F105" s="555"/>
    </row>
    <row r="106" spans="1:6" x14ac:dyDescent="0.25">
      <c r="A106" s="556" t="s">
        <v>583</v>
      </c>
      <c r="B106" s="557"/>
      <c r="C106" s="557"/>
      <c r="D106" s="557"/>
      <c r="E106" s="557"/>
      <c r="F106" s="558"/>
    </row>
    <row r="107" spans="1:6" x14ac:dyDescent="0.25">
      <c r="A107" s="184" t="s">
        <v>294</v>
      </c>
      <c r="B107" s="183" t="s">
        <v>110</v>
      </c>
      <c r="C107" s="6" t="s">
        <v>31</v>
      </c>
      <c r="D107" s="7" t="s">
        <v>32</v>
      </c>
      <c r="E107" s="8" t="s">
        <v>33</v>
      </c>
      <c r="F107" s="8" t="s">
        <v>34</v>
      </c>
    </row>
    <row r="108" spans="1:6" ht="26.25" x14ac:dyDescent="0.25">
      <c r="A108" s="306">
        <v>1575</v>
      </c>
      <c r="B108" s="182" t="s">
        <v>582</v>
      </c>
      <c r="C108" s="181" t="s">
        <v>31</v>
      </c>
      <c r="D108" s="21">
        <v>3</v>
      </c>
      <c r="E108" s="5">
        <v>5.37</v>
      </c>
      <c r="F108" s="5">
        <f>E108*D108</f>
        <v>16.11</v>
      </c>
    </row>
    <row r="109" spans="1:6" ht="26.25" x14ac:dyDescent="0.25">
      <c r="A109" s="306">
        <v>39447</v>
      </c>
      <c r="B109" s="182" t="s">
        <v>581</v>
      </c>
      <c r="C109" s="181" t="s">
        <v>31</v>
      </c>
      <c r="D109" s="21">
        <v>1</v>
      </c>
      <c r="E109" s="5">
        <v>168.09</v>
      </c>
      <c r="F109" s="5">
        <f>E109*D109</f>
        <v>168.09</v>
      </c>
    </row>
    <row r="110" spans="1:6" x14ac:dyDescent="0.25">
      <c r="A110" s="306">
        <v>88264</v>
      </c>
      <c r="B110" s="20" t="s">
        <v>90</v>
      </c>
      <c r="C110" s="181" t="s">
        <v>35</v>
      </c>
      <c r="D110" s="21">
        <v>0.7</v>
      </c>
      <c r="E110" s="5">
        <v>23.24</v>
      </c>
      <c r="F110" s="5">
        <f>E110*D110</f>
        <v>16.267999999999997</v>
      </c>
    </row>
    <row r="111" spans="1:6" x14ac:dyDescent="0.25">
      <c r="A111" s="306">
        <v>88247</v>
      </c>
      <c r="B111" s="20" t="s">
        <v>129</v>
      </c>
      <c r="C111" s="181" t="s">
        <v>35</v>
      </c>
      <c r="D111" s="21">
        <v>0.7</v>
      </c>
      <c r="E111" s="5">
        <v>19.2</v>
      </c>
      <c r="F111" s="5">
        <f>E111*D111</f>
        <v>13.44</v>
      </c>
    </row>
    <row r="112" spans="1:6" x14ac:dyDescent="0.25">
      <c r="A112" s="475"/>
      <c r="B112" s="562"/>
      <c r="C112" s="562"/>
      <c r="D112" s="563"/>
      <c r="E112" s="305"/>
      <c r="F112" s="290">
        <f>SUM(F108:F111)</f>
        <v>213.90799999999999</v>
      </c>
    </row>
    <row r="114" spans="1:6" x14ac:dyDescent="0.25">
      <c r="A114" s="550" t="s">
        <v>788</v>
      </c>
      <c r="B114" s="551"/>
      <c r="C114" s="551"/>
      <c r="D114" s="551"/>
      <c r="E114" s="551"/>
      <c r="F114" s="552"/>
    </row>
    <row r="115" spans="1:6" x14ac:dyDescent="0.25">
      <c r="A115" s="553"/>
      <c r="B115" s="554"/>
      <c r="C115" s="554"/>
      <c r="D115" s="554"/>
      <c r="E115" s="554"/>
      <c r="F115" s="555"/>
    </row>
    <row r="116" spans="1:6" x14ac:dyDescent="0.25">
      <c r="A116" s="561" t="s">
        <v>580</v>
      </c>
      <c r="B116" s="561"/>
      <c r="C116" s="561"/>
      <c r="D116" s="561"/>
      <c r="E116" s="561"/>
      <c r="F116" s="561"/>
    </row>
    <row r="117" spans="1:6" x14ac:dyDescent="0.25">
      <c r="A117" s="184" t="s">
        <v>294</v>
      </c>
      <c r="B117" s="183" t="s">
        <v>110</v>
      </c>
      <c r="C117" s="6" t="s">
        <v>31</v>
      </c>
      <c r="D117" s="7" t="s">
        <v>32</v>
      </c>
      <c r="E117" s="8" t="s">
        <v>33</v>
      </c>
      <c r="F117" s="8" t="s">
        <v>34</v>
      </c>
    </row>
    <row r="118" spans="1:6" ht="26.25" x14ac:dyDescent="0.25">
      <c r="A118" s="306" t="s">
        <v>579</v>
      </c>
      <c r="B118" s="182" t="s">
        <v>578</v>
      </c>
      <c r="C118" s="181" t="s">
        <v>31</v>
      </c>
      <c r="D118" s="21">
        <v>1</v>
      </c>
      <c r="E118" s="5">
        <v>112.32</v>
      </c>
      <c r="F118" s="5">
        <f>E118*D118</f>
        <v>112.32</v>
      </c>
    </row>
    <row r="119" spans="1:6" ht="39" x14ac:dyDescent="0.25">
      <c r="A119" s="306">
        <v>12232</v>
      </c>
      <c r="B119" s="182" t="s">
        <v>197</v>
      </c>
      <c r="C119" s="181" t="s">
        <v>31</v>
      </c>
      <c r="D119" s="21">
        <v>1</v>
      </c>
      <c r="E119" s="5">
        <v>38.950000000000003</v>
      </c>
      <c r="F119" s="5">
        <f>E119*D119</f>
        <v>38.950000000000003</v>
      </c>
    </row>
    <row r="120" spans="1:6" x14ac:dyDescent="0.25">
      <c r="A120" s="306">
        <v>88264</v>
      </c>
      <c r="B120" s="20" t="s">
        <v>90</v>
      </c>
      <c r="C120" s="181" t="s">
        <v>35</v>
      </c>
      <c r="D120" s="21">
        <v>0.5</v>
      </c>
      <c r="E120" s="5">
        <v>23.24</v>
      </c>
      <c r="F120" s="5">
        <f>E120*D120</f>
        <v>11.62</v>
      </c>
    </row>
    <row r="121" spans="1:6" x14ac:dyDescent="0.25">
      <c r="A121" s="306">
        <v>88247</v>
      </c>
      <c r="B121" s="20" t="s">
        <v>129</v>
      </c>
      <c r="C121" s="181" t="s">
        <v>35</v>
      </c>
      <c r="D121" s="21">
        <v>0.5</v>
      </c>
      <c r="E121" s="5">
        <v>19.2</v>
      </c>
      <c r="F121" s="5">
        <f>E121*D121</f>
        <v>9.6</v>
      </c>
    </row>
    <row r="122" spans="1:6" x14ac:dyDescent="0.25">
      <c r="A122" s="474" t="s">
        <v>577</v>
      </c>
      <c r="B122" s="474"/>
      <c r="C122" s="474"/>
      <c r="D122" s="474"/>
      <c r="E122" s="305"/>
      <c r="F122" s="290">
        <f>SUM(F118:F121)</f>
        <v>172.48999999999998</v>
      </c>
    </row>
    <row r="124" spans="1:6" x14ac:dyDescent="0.25">
      <c r="A124" s="550" t="s">
        <v>789</v>
      </c>
      <c r="B124" s="551"/>
      <c r="C124" s="551"/>
      <c r="D124" s="551"/>
      <c r="E124" s="551"/>
      <c r="F124" s="552"/>
    </row>
    <row r="125" spans="1:6" x14ac:dyDescent="0.25">
      <c r="A125" s="553"/>
      <c r="B125" s="554"/>
      <c r="C125" s="554"/>
      <c r="D125" s="554"/>
      <c r="E125" s="554"/>
      <c r="F125" s="555"/>
    </row>
    <row r="126" spans="1:6" x14ac:dyDescent="0.25">
      <c r="A126" s="561" t="s">
        <v>576</v>
      </c>
      <c r="B126" s="561"/>
      <c r="C126" s="561"/>
      <c r="D126" s="561"/>
      <c r="E126" s="561"/>
      <c r="F126" s="561"/>
    </row>
    <row r="127" spans="1:6" x14ac:dyDescent="0.25">
      <c r="A127" s="184" t="s">
        <v>294</v>
      </c>
      <c r="B127" s="183" t="s">
        <v>110</v>
      </c>
      <c r="C127" s="6" t="s">
        <v>31</v>
      </c>
      <c r="D127" s="7" t="s">
        <v>32</v>
      </c>
      <c r="E127" s="8" t="s">
        <v>33</v>
      </c>
      <c r="F127" s="8" t="s">
        <v>34</v>
      </c>
    </row>
    <row r="128" spans="1:6" x14ac:dyDescent="0.25">
      <c r="A128" s="306">
        <v>39387</v>
      </c>
      <c r="B128" s="182" t="s">
        <v>575</v>
      </c>
      <c r="C128" s="181" t="s">
        <v>31</v>
      </c>
      <c r="D128" s="21">
        <v>1</v>
      </c>
      <c r="E128" s="5">
        <v>13.88</v>
      </c>
      <c r="F128" s="5">
        <f>E128*D128</f>
        <v>13.88</v>
      </c>
    </row>
    <row r="129" spans="1:6" ht="39" x14ac:dyDescent="0.25">
      <c r="A129" s="306">
        <v>12232</v>
      </c>
      <c r="B129" s="182" t="s">
        <v>197</v>
      </c>
      <c r="C129" s="181" t="s">
        <v>31</v>
      </c>
      <c r="D129" s="21">
        <v>1</v>
      </c>
      <c r="E129" s="5">
        <v>38.950000000000003</v>
      </c>
      <c r="F129" s="5">
        <f>E129*D129</f>
        <v>38.950000000000003</v>
      </c>
    </row>
    <row r="130" spans="1:6" x14ac:dyDescent="0.25">
      <c r="A130" s="306">
        <v>88264</v>
      </c>
      <c r="B130" s="20" t="s">
        <v>90</v>
      </c>
      <c r="C130" s="181" t="s">
        <v>35</v>
      </c>
      <c r="D130" s="21">
        <v>0.5</v>
      </c>
      <c r="E130" s="5">
        <v>23.24</v>
      </c>
      <c r="F130" s="5">
        <f>E130*D130</f>
        <v>11.62</v>
      </c>
    </row>
    <row r="131" spans="1:6" x14ac:dyDescent="0.25">
      <c r="A131" s="306">
        <v>88247</v>
      </c>
      <c r="B131" s="20" t="s">
        <v>129</v>
      </c>
      <c r="C131" s="181" t="s">
        <v>35</v>
      </c>
      <c r="D131" s="21">
        <v>0.5</v>
      </c>
      <c r="E131" s="5">
        <v>19.2</v>
      </c>
      <c r="F131" s="5">
        <f>E131*D131</f>
        <v>9.6</v>
      </c>
    </row>
    <row r="132" spans="1:6" x14ac:dyDescent="0.25">
      <c r="A132" s="474"/>
      <c r="B132" s="474"/>
      <c r="C132" s="474"/>
      <c r="D132" s="474"/>
      <c r="E132" s="305"/>
      <c r="F132" s="290">
        <f>SUM(F128:F131)</f>
        <v>74.05</v>
      </c>
    </row>
    <row r="134" spans="1:6" x14ac:dyDescent="0.25">
      <c r="A134" s="550" t="s">
        <v>790</v>
      </c>
      <c r="B134" s="551"/>
      <c r="C134" s="551"/>
      <c r="D134" s="551"/>
      <c r="E134" s="551"/>
      <c r="F134" s="552"/>
    </row>
    <row r="135" spans="1:6" x14ac:dyDescent="0.25">
      <c r="A135" s="553"/>
      <c r="B135" s="554"/>
      <c r="C135" s="554"/>
      <c r="D135" s="554"/>
      <c r="E135" s="554"/>
      <c r="F135" s="555"/>
    </row>
    <row r="136" spans="1:6" x14ac:dyDescent="0.25">
      <c r="A136" s="561" t="s">
        <v>198</v>
      </c>
      <c r="B136" s="561"/>
      <c r="C136" s="561"/>
      <c r="D136" s="561"/>
      <c r="E136" s="561"/>
      <c r="F136" s="561"/>
    </row>
    <row r="137" spans="1:6" x14ac:dyDescent="0.25">
      <c r="A137" s="184" t="s">
        <v>294</v>
      </c>
      <c r="B137" s="183" t="s">
        <v>110</v>
      </c>
      <c r="C137" s="6" t="s">
        <v>31</v>
      </c>
      <c r="D137" s="7" t="s">
        <v>32</v>
      </c>
      <c r="E137" s="8" t="s">
        <v>33</v>
      </c>
      <c r="F137" s="8" t="s">
        <v>34</v>
      </c>
    </row>
    <row r="138" spans="1:6" x14ac:dyDescent="0.25">
      <c r="A138" s="306">
        <v>39387</v>
      </c>
      <c r="B138" s="182" t="s">
        <v>575</v>
      </c>
      <c r="C138" s="181" t="s">
        <v>31</v>
      </c>
      <c r="D138" s="21">
        <v>2</v>
      </c>
      <c r="E138" s="5">
        <v>13.88</v>
      </c>
      <c r="F138" s="5">
        <f>E138*D138</f>
        <v>27.76</v>
      </c>
    </row>
    <row r="139" spans="1:6" ht="39" x14ac:dyDescent="0.25">
      <c r="A139" s="306">
        <v>12232</v>
      </c>
      <c r="B139" s="182" t="s">
        <v>197</v>
      </c>
      <c r="C139" s="181" t="s">
        <v>31</v>
      </c>
      <c r="D139" s="21">
        <v>1</v>
      </c>
      <c r="E139" s="5">
        <v>38.950000000000003</v>
      </c>
      <c r="F139" s="5">
        <f>E139*D139</f>
        <v>38.950000000000003</v>
      </c>
    </row>
    <row r="140" spans="1:6" x14ac:dyDescent="0.25">
      <c r="A140" s="306">
        <v>88264</v>
      </c>
      <c r="B140" s="20" t="s">
        <v>90</v>
      </c>
      <c r="C140" s="181" t="s">
        <v>35</v>
      </c>
      <c r="D140" s="21">
        <v>0.82879999999999998</v>
      </c>
      <c r="E140" s="5">
        <v>23.24</v>
      </c>
      <c r="F140" s="5">
        <f>E140*D140</f>
        <v>19.261311999999997</v>
      </c>
    </row>
    <row r="141" spans="1:6" x14ac:dyDescent="0.25">
      <c r="A141" s="306">
        <v>88247</v>
      </c>
      <c r="B141" s="20" t="s">
        <v>129</v>
      </c>
      <c r="C141" s="181" t="s">
        <v>35</v>
      </c>
      <c r="D141" s="21">
        <v>0.82879999999999998</v>
      </c>
      <c r="E141" s="5">
        <v>19.2</v>
      </c>
      <c r="F141" s="5">
        <f>E141*D141</f>
        <v>15.912959999999998</v>
      </c>
    </row>
    <row r="142" spans="1:6" x14ac:dyDescent="0.25">
      <c r="A142" s="474"/>
      <c r="B142" s="474"/>
      <c r="C142" s="474"/>
      <c r="D142" s="474"/>
      <c r="E142" s="305"/>
      <c r="F142" s="290">
        <f>SUM(F138:F141)</f>
        <v>101.88427200000001</v>
      </c>
    </row>
    <row r="144" spans="1:6" x14ac:dyDescent="0.25">
      <c r="A144" s="550" t="s">
        <v>791</v>
      </c>
      <c r="B144" s="551"/>
      <c r="C144" s="551"/>
      <c r="D144" s="551"/>
      <c r="E144" s="551"/>
      <c r="F144" s="552"/>
    </row>
    <row r="145" spans="1:6" x14ac:dyDescent="0.25">
      <c r="A145" s="553"/>
      <c r="B145" s="554"/>
      <c r="C145" s="554"/>
      <c r="D145" s="554"/>
      <c r="E145" s="554"/>
      <c r="F145" s="555"/>
    </row>
    <row r="146" spans="1:6" x14ac:dyDescent="0.25">
      <c r="A146" s="556" t="s">
        <v>329</v>
      </c>
      <c r="B146" s="557"/>
      <c r="C146" s="557"/>
      <c r="D146" s="557"/>
      <c r="E146" s="557"/>
      <c r="F146" s="558"/>
    </row>
    <row r="147" spans="1:6" x14ac:dyDescent="0.25">
      <c r="A147" s="6" t="s">
        <v>2</v>
      </c>
      <c r="B147" s="183" t="s">
        <v>574</v>
      </c>
      <c r="C147" s="6" t="s">
        <v>31</v>
      </c>
      <c r="D147" s="7" t="s">
        <v>32</v>
      </c>
      <c r="E147" s="8" t="s">
        <v>33</v>
      </c>
      <c r="F147" s="8" t="s">
        <v>34</v>
      </c>
    </row>
    <row r="148" spans="1:6" ht="15" customHeight="1" x14ac:dyDescent="0.25">
      <c r="A148" s="3">
        <v>39390</v>
      </c>
      <c r="B148" s="304" t="s">
        <v>330</v>
      </c>
      <c r="C148" s="181" t="s">
        <v>31</v>
      </c>
      <c r="D148" s="21">
        <v>1</v>
      </c>
      <c r="E148" s="5">
        <v>37.83</v>
      </c>
      <c r="F148" s="5">
        <f>E148*D148</f>
        <v>37.83</v>
      </c>
    </row>
    <row r="149" spans="1:6" x14ac:dyDescent="0.25">
      <c r="A149" s="3">
        <v>88264</v>
      </c>
      <c r="B149" s="20" t="s">
        <v>90</v>
      </c>
      <c r="C149" s="181" t="s">
        <v>35</v>
      </c>
      <c r="D149" s="21">
        <v>0.37</v>
      </c>
      <c r="E149" s="5">
        <v>23.24</v>
      </c>
      <c r="F149" s="5">
        <f>E149*D149</f>
        <v>8.5987999999999989</v>
      </c>
    </row>
    <row r="150" spans="1:6" x14ac:dyDescent="0.25">
      <c r="A150" s="3">
        <v>88247</v>
      </c>
      <c r="B150" s="20" t="s">
        <v>129</v>
      </c>
      <c r="C150" s="181" t="s">
        <v>35</v>
      </c>
      <c r="D150" s="21">
        <v>0.37</v>
      </c>
      <c r="E150" s="5">
        <v>19.2</v>
      </c>
      <c r="F150" s="5">
        <f>E150*D150</f>
        <v>7.1040000000000001</v>
      </c>
    </row>
    <row r="151" spans="1:6" x14ac:dyDescent="0.25">
      <c r="A151" s="544" t="s">
        <v>36</v>
      </c>
      <c r="B151" s="545"/>
      <c r="C151" s="545"/>
      <c r="D151" s="545"/>
      <c r="E151" s="546"/>
      <c r="F151" s="290">
        <f>SUM(F148:F150)</f>
        <v>53.532799999999995</v>
      </c>
    </row>
    <row r="153" spans="1:6" x14ac:dyDescent="0.25">
      <c r="A153" s="550" t="s">
        <v>792</v>
      </c>
      <c r="B153" s="551"/>
      <c r="C153" s="551"/>
      <c r="D153" s="551"/>
      <c r="E153" s="551"/>
      <c r="F153" s="552"/>
    </row>
    <row r="154" spans="1:6" x14ac:dyDescent="0.25">
      <c r="A154" s="553"/>
      <c r="B154" s="554"/>
      <c r="C154" s="554"/>
      <c r="D154" s="554"/>
      <c r="E154" s="554"/>
      <c r="F154" s="555"/>
    </row>
    <row r="155" spans="1:6" x14ac:dyDescent="0.25">
      <c r="A155" s="556" t="s">
        <v>573</v>
      </c>
      <c r="B155" s="557"/>
      <c r="C155" s="557"/>
      <c r="D155" s="557"/>
      <c r="E155" s="557"/>
      <c r="F155" s="558"/>
    </row>
    <row r="156" spans="1:6" x14ac:dyDescent="0.25">
      <c r="A156" s="184" t="s">
        <v>294</v>
      </c>
      <c r="B156" s="183" t="s">
        <v>110</v>
      </c>
      <c r="C156" s="6" t="s">
        <v>31</v>
      </c>
      <c r="D156" s="7" t="s">
        <v>32</v>
      </c>
      <c r="E156" s="8" t="s">
        <v>33</v>
      </c>
      <c r="F156" s="8" t="s">
        <v>34</v>
      </c>
    </row>
    <row r="157" spans="1:6" ht="26.25" x14ac:dyDescent="0.25">
      <c r="A157" s="3">
        <v>39798</v>
      </c>
      <c r="B157" s="182" t="s">
        <v>572</v>
      </c>
      <c r="C157" s="181" t="s">
        <v>31</v>
      </c>
      <c r="D157" s="21">
        <v>1</v>
      </c>
      <c r="E157" s="5">
        <v>218.84</v>
      </c>
      <c r="F157" s="5">
        <f>E157*D157</f>
        <v>218.84</v>
      </c>
    </row>
    <row r="158" spans="1:6" x14ac:dyDescent="0.25">
      <c r="A158" s="3" t="s">
        <v>569</v>
      </c>
      <c r="B158" s="182" t="s">
        <v>564</v>
      </c>
      <c r="C158" s="181" t="s">
        <v>31</v>
      </c>
      <c r="D158" s="21">
        <v>2</v>
      </c>
      <c r="E158" s="5">
        <v>70.47</v>
      </c>
      <c r="F158" s="5">
        <f>E158*D158</f>
        <v>140.94</v>
      </c>
    </row>
    <row r="159" spans="1:6" ht="39" x14ac:dyDescent="0.25">
      <c r="A159" s="3">
        <v>87367</v>
      </c>
      <c r="B159" s="182" t="s">
        <v>196</v>
      </c>
      <c r="C159" s="181" t="s">
        <v>23</v>
      </c>
      <c r="D159" s="21">
        <v>1.6E-2</v>
      </c>
      <c r="E159" s="5">
        <v>673.37</v>
      </c>
      <c r="F159" s="5">
        <f>E159*D159</f>
        <v>10.77392</v>
      </c>
    </row>
    <row r="160" spans="1:6" x14ac:dyDescent="0.25">
      <c r="A160" s="3">
        <v>88264</v>
      </c>
      <c r="B160" s="20" t="s">
        <v>90</v>
      </c>
      <c r="C160" s="181" t="s">
        <v>35</v>
      </c>
      <c r="D160" s="21">
        <v>2.06</v>
      </c>
      <c r="E160" s="5">
        <v>23.24</v>
      </c>
      <c r="F160" s="5">
        <f>E160*D160</f>
        <v>47.874400000000001</v>
      </c>
    </row>
    <row r="161" spans="1:6" x14ac:dyDescent="0.25">
      <c r="A161" s="3">
        <v>88247</v>
      </c>
      <c r="B161" s="20" t="s">
        <v>129</v>
      </c>
      <c r="C161" s="181" t="s">
        <v>35</v>
      </c>
      <c r="D161" s="21">
        <v>2.06</v>
      </c>
      <c r="E161" s="5">
        <v>19.2</v>
      </c>
      <c r="F161" s="5">
        <f>E161*D161</f>
        <v>39.552</v>
      </c>
    </row>
    <row r="162" spans="1:6" x14ac:dyDescent="0.25">
      <c r="A162" s="544" t="s">
        <v>36</v>
      </c>
      <c r="B162" s="545"/>
      <c r="C162" s="545"/>
      <c r="D162" s="545"/>
      <c r="E162" s="546"/>
      <c r="F162" s="290">
        <f>SUM(F157:F161)</f>
        <v>457.98031999999995</v>
      </c>
    </row>
    <row r="164" spans="1:6" x14ac:dyDescent="0.25">
      <c r="A164" s="550" t="s">
        <v>793</v>
      </c>
      <c r="B164" s="551"/>
      <c r="C164" s="551"/>
      <c r="D164" s="551"/>
      <c r="E164" s="551"/>
      <c r="F164" s="552"/>
    </row>
    <row r="165" spans="1:6" x14ac:dyDescent="0.25">
      <c r="A165" s="553"/>
      <c r="B165" s="554"/>
      <c r="C165" s="554"/>
      <c r="D165" s="554"/>
      <c r="E165" s="554"/>
      <c r="F165" s="555"/>
    </row>
    <row r="166" spans="1:6" x14ac:dyDescent="0.25">
      <c r="A166" s="556" t="s">
        <v>571</v>
      </c>
      <c r="B166" s="557"/>
      <c r="C166" s="557"/>
      <c r="D166" s="557"/>
      <c r="E166" s="557"/>
      <c r="F166" s="558"/>
    </row>
    <row r="167" spans="1:6" x14ac:dyDescent="0.25">
      <c r="A167" s="184" t="s">
        <v>294</v>
      </c>
      <c r="B167" s="183" t="s">
        <v>110</v>
      </c>
      <c r="C167" s="6" t="s">
        <v>31</v>
      </c>
      <c r="D167" s="7" t="s">
        <v>32</v>
      </c>
      <c r="E167" s="8" t="s">
        <v>33</v>
      </c>
      <c r="F167" s="8" t="s">
        <v>34</v>
      </c>
    </row>
    <row r="168" spans="1:6" ht="26.25" x14ac:dyDescent="0.25">
      <c r="A168" s="3">
        <v>39797</v>
      </c>
      <c r="B168" s="182" t="s">
        <v>570</v>
      </c>
      <c r="C168" s="181" t="s">
        <v>31</v>
      </c>
      <c r="D168" s="21">
        <v>1</v>
      </c>
      <c r="E168" s="5">
        <v>127.58</v>
      </c>
      <c r="F168" s="5">
        <f>E168*D168</f>
        <v>127.58</v>
      </c>
    </row>
    <row r="169" spans="1:6" x14ac:dyDescent="0.25">
      <c r="A169" s="3" t="s">
        <v>569</v>
      </c>
      <c r="B169" s="182" t="s">
        <v>568</v>
      </c>
      <c r="C169" s="181" t="s">
        <v>31</v>
      </c>
      <c r="D169" s="21">
        <v>2</v>
      </c>
      <c r="E169" s="5">
        <v>70.47</v>
      </c>
      <c r="F169" s="5">
        <f>E169*D169</f>
        <v>140.94</v>
      </c>
    </row>
    <row r="170" spans="1:6" ht="39" x14ac:dyDescent="0.25">
      <c r="A170" s="3">
        <v>87367</v>
      </c>
      <c r="B170" s="182" t="s">
        <v>196</v>
      </c>
      <c r="C170" s="181" t="s">
        <v>23</v>
      </c>
      <c r="D170" s="21">
        <v>1.6E-2</v>
      </c>
      <c r="E170" s="5">
        <v>673.37</v>
      </c>
      <c r="F170" s="5">
        <f>E170*D170</f>
        <v>10.77392</v>
      </c>
    </row>
    <row r="171" spans="1:6" x14ac:dyDescent="0.25">
      <c r="A171" s="3">
        <v>88264</v>
      </c>
      <c r="B171" s="20" t="s">
        <v>90</v>
      </c>
      <c r="C171" s="181" t="s">
        <v>35</v>
      </c>
      <c r="D171" s="21">
        <v>2.06</v>
      </c>
      <c r="E171" s="5">
        <v>23.24</v>
      </c>
      <c r="F171" s="5">
        <f>E171*D171</f>
        <v>47.874400000000001</v>
      </c>
    </row>
    <row r="172" spans="1:6" x14ac:dyDescent="0.25">
      <c r="A172" s="3">
        <v>88247</v>
      </c>
      <c r="B172" s="20" t="s">
        <v>129</v>
      </c>
      <c r="C172" s="181" t="s">
        <v>35</v>
      </c>
      <c r="D172" s="21">
        <v>2.06</v>
      </c>
      <c r="E172" s="5">
        <v>19.2</v>
      </c>
      <c r="F172" s="5">
        <f>E172*D172</f>
        <v>39.552</v>
      </c>
    </row>
    <row r="173" spans="1:6" x14ac:dyDescent="0.25">
      <c r="A173" s="544" t="s">
        <v>36</v>
      </c>
      <c r="B173" s="545"/>
      <c r="C173" s="545"/>
      <c r="D173" s="545"/>
      <c r="E173" s="546"/>
      <c r="F173" s="290">
        <f>SUM(F168:F172)</f>
        <v>366.72031999999996</v>
      </c>
    </row>
    <row r="175" spans="1:6" x14ac:dyDescent="0.25">
      <c r="A175" s="550" t="s">
        <v>794</v>
      </c>
      <c r="B175" s="551"/>
      <c r="C175" s="551"/>
      <c r="D175" s="551"/>
      <c r="E175" s="551"/>
      <c r="F175" s="552"/>
    </row>
    <row r="176" spans="1:6" x14ac:dyDescent="0.25">
      <c r="A176" s="553"/>
      <c r="B176" s="554"/>
      <c r="C176" s="554"/>
      <c r="D176" s="554"/>
      <c r="E176" s="554"/>
      <c r="F176" s="555"/>
    </row>
    <row r="177" spans="1:6" x14ac:dyDescent="0.25">
      <c r="A177" s="556" t="s">
        <v>567</v>
      </c>
      <c r="B177" s="557"/>
      <c r="C177" s="557"/>
      <c r="D177" s="557"/>
      <c r="E177" s="557"/>
      <c r="F177" s="558"/>
    </row>
    <row r="178" spans="1:6" x14ac:dyDescent="0.25">
      <c r="A178" s="184" t="s">
        <v>294</v>
      </c>
      <c r="B178" s="183" t="s">
        <v>110</v>
      </c>
      <c r="C178" s="6" t="s">
        <v>31</v>
      </c>
      <c r="D178" s="7" t="s">
        <v>32</v>
      </c>
      <c r="E178" s="8" t="s">
        <v>33</v>
      </c>
      <c r="F178" s="8" t="s">
        <v>34</v>
      </c>
    </row>
    <row r="179" spans="1:6" ht="26.25" x14ac:dyDescent="0.25">
      <c r="A179" s="3">
        <v>39803</v>
      </c>
      <c r="B179" s="182" t="s">
        <v>566</v>
      </c>
      <c r="C179" s="181" t="s">
        <v>31</v>
      </c>
      <c r="D179" s="21">
        <v>1</v>
      </c>
      <c r="E179" s="5">
        <v>235.33</v>
      </c>
      <c r="F179" s="5">
        <f>E179*D179</f>
        <v>235.33</v>
      </c>
    </row>
    <row r="180" spans="1:6" x14ac:dyDescent="0.25">
      <c r="A180" s="3" t="s">
        <v>565</v>
      </c>
      <c r="B180" s="182" t="s">
        <v>564</v>
      </c>
      <c r="C180" s="181" t="s">
        <v>31</v>
      </c>
      <c r="D180" s="21">
        <v>3</v>
      </c>
      <c r="E180" s="5">
        <v>87.43</v>
      </c>
      <c r="F180" s="5">
        <f>E180*D180</f>
        <v>262.29000000000002</v>
      </c>
    </row>
    <row r="181" spans="1:6" ht="39" x14ac:dyDescent="0.25">
      <c r="A181" s="3">
        <v>87367</v>
      </c>
      <c r="B181" s="182" t="s">
        <v>196</v>
      </c>
      <c r="C181" s="181" t="s">
        <v>23</v>
      </c>
      <c r="D181" s="21">
        <v>1.6E-2</v>
      </c>
      <c r="E181" s="5">
        <v>673.37</v>
      </c>
      <c r="F181" s="5">
        <f>E181*D181</f>
        <v>10.77392</v>
      </c>
    </row>
    <row r="182" spans="1:6" x14ac:dyDescent="0.25">
      <c r="A182" s="3">
        <v>88264</v>
      </c>
      <c r="B182" s="20" t="s">
        <v>90</v>
      </c>
      <c r="C182" s="181" t="s">
        <v>35</v>
      </c>
      <c r="D182" s="21">
        <v>2.06</v>
      </c>
      <c r="E182" s="5">
        <v>23.24</v>
      </c>
      <c r="F182" s="5">
        <f>E182*D182</f>
        <v>47.874400000000001</v>
      </c>
    </row>
    <row r="183" spans="1:6" x14ac:dyDescent="0.25">
      <c r="A183" s="3">
        <v>88247</v>
      </c>
      <c r="B183" s="20" t="s">
        <v>129</v>
      </c>
      <c r="C183" s="181" t="s">
        <v>35</v>
      </c>
      <c r="D183" s="21">
        <v>2.06</v>
      </c>
      <c r="E183" s="5">
        <v>19.2</v>
      </c>
      <c r="F183" s="5">
        <f>E183*D183</f>
        <v>39.552</v>
      </c>
    </row>
    <row r="184" spans="1:6" x14ac:dyDescent="0.25">
      <c r="A184" s="544" t="s">
        <v>36</v>
      </c>
      <c r="B184" s="545"/>
      <c r="C184" s="545"/>
      <c r="D184" s="545"/>
      <c r="E184" s="546"/>
      <c r="F184" s="290">
        <f>SUM(F179:F183)</f>
        <v>595.82032000000004</v>
      </c>
    </row>
  </sheetData>
  <mergeCells count="64">
    <mergeCell ref="A6:F7"/>
    <mergeCell ref="A25:F25"/>
    <mergeCell ref="A34:F34"/>
    <mergeCell ref="A45:F45"/>
    <mergeCell ref="A33:E33"/>
    <mergeCell ref="A26:F27"/>
    <mergeCell ref="A28:F28"/>
    <mergeCell ref="A15:E15"/>
    <mergeCell ref="A10:F10"/>
    <mergeCell ref="A8:F9"/>
    <mergeCell ref="A16:F16"/>
    <mergeCell ref="A35:F36"/>
    <mergeCell ref="A17:F18"/>
    <mergeCell ref="A19:F19"/>
    <mergeCell ref="A24:E24"/>
    <mergeCell ref="A37:F37"/>
    <mergeCell ref="A1:F1"/>
    <mergeCell ref="B2:F2"/>
    <mergeCell ref="B3:F3"/>
    <mergeCell ref="B4:F4"/>
    <mergeCell ref="B5:F5"/>
    <mergeCell ref="A63:D63"/>
    <mergeCell ref="A67:F67"/>
    <mergeCell ref="A44:E44"/>
    <mergeCell ref="A46:F47"/>
    <mergeCell ref="A48:F48"/>
    <mergeCell ref="A54:D54"/>
    <mergeCell ref="A65:F66"/>
    <mergeCell ref="A56:F57"/>
    <mergeCell ref="A58:F58"/>
    <mergeCell ref="A122:D122"/>
    <mergeCell ref="A72:D72"/>
    <mergeCell ref="A86:F86"/>
    <mergeCell ref="A92:D92"/>
    <mergeCell ref="A94:F95"/>
    <mergeCell ref="A96:F96"/>
    <mergeCell ref="A102:D102"/>
    <mergeCell ref="A104:F105"/>
    <mergeCell ref="A106:F106"/>
    <mergeCell ref="A112:D112"/>
    <mergeCell ref="A114:F115"/>
    <mergeCell ref="A116:F116"/>
    <mergeCell ref="A84:F85"/>
    <mergeCell ref="A74:F75"/>
    <mergeCell ref="A76:F76"/>
    <mergeCell ref="A82:D82"/>
    <mergeCell ref="A124:F125"/>
    <mergeCell ref="A126:F126"/>
    <mergeCell ref="A132:D132"/>
    <mergeCell ref="A134:F135"/>
    <mergeCell ref="A153:F154"/>
    <mergeCell ref="A162:E162"/>
    <mergeCell ref="A164:F165"/>
    <mergeCell ref="A136:F136"/>
    <mergeCell ref="A142:D142"/>
    <mergeCell ref="A144:F145"/>
    <mergeCell ref="A146:F146"/>
    <mergeCell ref="A151:E151"/>
    <mergeCell ref="A155:F155"/>
    <mergeCell ref="A166:F166"/>
    <mergeCell ref="A173:E173"/>
    <mergeCell ref="A175:F176"/>
    <mergeCell ref="A177:F177"/>
    <mergeCell ref="A184:E184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9" fitToHeight="0" orientation="portrait" r:id="rId1"/>
  <rowBreaks count="3" manualBreakCount="3">
    <brk id="45" max="5" man="1"/>
    <brk id="93" max="5" man="1"/>
    <brk id="143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  <pageSetUpPr fitToPage="1"/>
  </sheetPr>
  <dimension ref="A1:K45"/>
  <sheetViews>
    <sheetView tabSelected="1" view="pageBreakPreview" zoomScale="98" zoomScaleNormal="100" zoomScaleSheetLayoutView="98" workbookViewId="0">
      <selection activeCell="O29" sqref="O29"/>
    </sheetView>
  </sheetViews>
  <sheetFormatPr defaultRowHeight="15" x14ac:dyDescent="0.25"/>
  <cols>
    <col min="1" max="1" width="17.7109375" customWidth="1"/>
    <col min="2" max="2" width="66" customWidth="1"/>
    <col min="5" max="5" width="17" bestFit="1" customWidth="1"/>
    <col min="6" max="6" width="14.28515625" bestFit="1" customWidth="1"/>
  </cols>
  <sheetData>
    <row r="1" spans="1:11" ht="61.5" customHeight="1" x14ac:dyDescent="0.25">
      <c r="A1" s="559" t="s">
        <v>386</v>
      </c>
      <c r="B1" s="559"/>
      <c r="C1" s="559"/>
      <c r="D1" s="559"/>
      <c r="E1" s="559"/>
      <c r="F1" s="559"/>
      <c r="G1" s="99"/>
      <c r="H1" s="99"/>
      <c r="I1" s="18"/>
      <c r="J1" s="18"/>
      <c r="K1" s="312"/>
    </row>
    <row r="2" spans="1:11" x14ac:dyDescent="0.25">
      <c r="A2" s="31" t="s">
        <v>12</v>
      </c>
      <c r="B2" s="474" t="str">
        <f>'PLANILHA ORÇAMENTARIA'!$B$2:$E$2</f>
        <v>ESCOLA MUNICIPAL DOMINGOS AZZONLINI</v>
      </c>
      <c r="C2" s="474"/>
      <c r="D2" s="474"/>
      <c r="E2" s="474"/>
      <c r="F2" s="474"/>
      <c r="G2" s="26"/>
      <c r="H2" s="26"/>
    </row>
    <row r="3" spans="1:11" x14ac:dyDescent="0.25">
      <c r="A3" s="31" t="s">
        <v>13</v>
      </c>
      <c r="B3" s="474" t="str">
        <f>'PLANILHA ORÇAMENTARIA'!$B$3:$E$3</f>
        <v>SANTO ANTÔNIO DO LESTE - MT</v>
      </c>
      <c r="C3" s="474"/>
      <c r="D3" s="474"/>
      <c r="E3" s="474"/>
      <c r="F3" s="474"/>
      <c r="G3" s="26"/>
      <c r="H3" s="26"/>
    </row>
    <row r="4" spans="1:11" x14ac:dyDescent="0.25">
      <c r="A4" s="31" t="s">
        <v>14</v>
      </c>
      <c r="B4" s="474" t="str">
        <f>'PLANILHA ORÇAMENTARIA'!$B$4:$E$4</f>
        <v>PREFEITURA MUNICIPAL DE SANTO ANTÔNIO DO LESTE - MT</v>
      </c>
      <c r="C4" s="474"/>
      <c r="D4" s="474"/>
      <c r="E4" s="474"/>
      <c r="F4" s="474"/>
      <c r="G4" s="26"/>
      <c r="H4" s="26"/>
    </row>
    <row r="5" spans="1:11" x14ac:dyDescent="0.25">
      <c r="A5" s="31" t="s">
        <v>15</v>
      </c>
      <c r="B5" s="467">
        <f>'PLANILHA ORÇAMENTARIA'!$B$5:$E$5</f>
        <v>44810</v>
      </c>
      <c r="C5" s="467"/>
      <c r="D5" s="467"/>
      <c r="E5" s="467"/>
      <c r="F5" s="467"/>
      <c r="G5" s="100"/>
      <c r="H5" s="100"/>
    </row>
    <row r="6" spans="1:11" ht="15" customHeight="1" x14ac:dyDescent="0.25">
      <c r="A6" s="560" t="s">
        <v>752</v>
      </c>
      <c r="B6" s="560"/>
      <c r="C6" s="560"/>
      <c r="D6" s="560"/>
      <c r="E6" s="560"/>
      <c r="F6" s="560"/>
      <c r="G6" s="101"/>
      <c r="H6" s="101"/>
    </row>
    <row r="7" spans="1:11" ht="15" customHeight="1" x14ac:dyDescent="0.25">
      <c r="A7" s="560"/>
      <c r="B7" s="560"/>
      <c r="C7" s="560"/>
      <c r="D7" s="560"/>
      <c r="E7" s="560"/>
      <c r="F7" s="560"/>
      <c r="G7" s="101"/>
      <c r="H7" s="101"/>
    </row>
    <row r="8" spans="1:11" ht="22.5" customHeight="1" x14ac:dyDescent="0.25">
      <c r="A8" s="550" t="s">
        <v>779</v>
      </c>
      <c r="B8" s="551"/>
      <c r="C8" s="551"/>
      <c r="D8" s="551"/>
      <c r="E8" s="551"/>
      <c r="F8" s="552"/>
    </row>
    <row r="9" spans="1:11" x14ac:dyDescent="0.25">
      <c r="A9" s="553"/>
      <c r="B9" s="554"/>
      <c r="C9" s="554"/>
      <c r="D9" s="554"/>
      <c r="E9" s="554"/>
      <c r="F9" s="555"/>
    </row>
    <row r="10" spans="1:11" ht="27" customHeight="1" x14ac:dyDescent="0.25">
      <c r="A10" s="556" t="s">
        <v>765</v>
      </c>
      <c r="B10" s="557"/>
      <c r="C10" s="557"/>
      <c r="D10" s="557"/>
      <c r="E10" s="557"/>
      <c r="F10" s="558"/>
    </row>
    <row r="11" spans="1:11" x14ac:dyDescent="0.25">
      <c r="A11" s="311" t="s">
        <v>294</v>
      </c>
      <c r="B11" s="310" t="s">
        <v>110</v>
      </c>
      <c r="C11" s="6" t="s">
        <v>31</v>
      </c>
      <c r="D11" s="7" t="s">
        <v>32</v>
      </c>
      <c r="E11" s="8" t="s">
        <v>33</v>
      </c>
      <c r="F11" s="8" t="s">
        <v>34</v>
      </c>
    </row>
    <row r="12" spans="1:11" x14ac:dyDescent="0.25">
      <c r="A12" s="313">
        <v>122</v>
      </c>
      <c r="B12" s="20" t="s">
        <v>757</v>
      </c>
      <c r="C12" s="309" t="s">
        <v>5</v>
      </c>
      <c r="D12" s="21">
        <v>1.4800000000000001E-2</v>
      </c>
      <c r="E12" s="5">
        <v>76.86</v>
      </c>
      <c r="F12" s="5">
        <f t="shared" ref="F12:F19" si="0">E12*D12</f>
        <v>1.1375280000000001</v>
      </c>
    </row>
    <row r="13" spans="1:11" ht="15" customHeight="1" x14ac:dyDescent="0.25">
      <c r="A13" s="313">
        <v>297</v>
      </c>
      <c r="B13" s="20" t="s">
        <v>758</v>
      </c>
      <c r="C13" s="309" t="s">
        <v>31</v>
      </c>
      <c r="D13" s="21">
        <v>1</v>
      </c>
      <c r="E13" s="5">
        <v>2.91</v>
      </c>
      <c r="F13" s="5">
        <f t="shared" si="0"/>
        <v>2.91</v>
      </c>
    </row>
    <row r="14" spans="1:11" ht="26.25" x14ac:dyDescent="0.25">
      <c r="A14" s="313">
        <v>11712</v>
      </c>
      <c r="B14" s="20" t="s">
        <v>759</v>
      </c>
      <c r="C14" s="309" t="s">
        <v>31</v>
      </c>
      <c r="D14" s="21">
        <v>1</v>
      </c>
      <c r="E14" s="5">
        <v>53.72</v>
      </c>
      <c r="F14" s="5">
        <f t="shared" si="0"/>
        <v>53.72</v>
      </c>
    </row>
    <row r="15" spans="1:11" ht="39" x14ac:dyDescent="0.25">
      <c r="A15" s="313">
        <v>20078</v>
      </c>
      <c r="B15" s="20" t="s">
        <v>760</v>
      </c>
      <c r="C15" s="309" t="s">
        <v>31</v>
      </c>
      <c r="D15" s="21">
        <v>0.03</v>
      </c>
      <c r="E15" s="5">
        <v>31.72</v>
      </c>
      <c r="F15" s="5">
        <f t="shared" si="0"/>
        <v>0.95159999999999989</v>
      </c>
    </row>
    <row r="16" spans="1:11" ht="26.25" x14ac:dyDescent="0.25">
      <c r="A16" s="313">
        <v>20083</v>
      </c>
      <c r="B16" s="20" t="s">
        <v>761</v>
      </c>
      <c r="C16" s="309" t="s">
        <v>31</v>
      </c>
      <c r="D16" s="21">
        <v>2.2499999999999999E-2</v>
      </c>
      <c r="E16" s="5">
        <v>87.08</v>
      </c>
      <c r="F16" s="5">
        <f t="shared" si="0"/>
        <v>1.9592999999999998</v>
      </c>
    </row>
    <row r="17" spans="1:6" x14ac:dyDescent="0.25">
      <c r="A17" s="313">
        <v>38383</v>
      </c>
      <c r="B17" s="20" t="s">
        <v>762</v>
      </c>
      <c r="C17" s="309" t="s">
        <v>31</v>
      </c>
      <c r="D17" s="21">
        <v>5.7000000000000002E-2</v>
      </c>
      <c r="E17" s="5">
        <v>2.5299999999999998</v>
      </c>
      <c r="F17" s="5">
        <f t="shared" si="0"/>
        <v>0.14421</v>
      </c>
    </row>
    <row r="18" spans="1:6" ht="26.25" x14ac:dyDescent="0.25">
      <c r="A18" s="313">
        <v>88248</v>
      </c>
      <c r="B18" s="20" t="s">
        <v>763</v>
      </c>
      <c r="C18" s="309" t="s">
        <v>35</v>
      </c>
      <c r="D18" s="21">
        <v>0.38</v>
      </c>
      <c r="E18" s="5">
        <v>18.399999999999999</v>
      </c>
      <c r="F18" s="5">
        <f t="shared" si="0"/>
        <v>6.9919999999999991</v>
      </c>
    </row>
    <row r="19" spans="1:6" ht="26.25" x14ac:dyDescent="0.25">
      <c r="A19" s="313">
        <v>88267</v>
      </c>
      <c r="B19" s="20" t="s">
        <v>764</v>
      </c>
      <c r="C19" s="309" t="s">
        <v>35</v>
      </c>
      <c r="D19" s="21">
        <v>0.38</v>
      </c>
      <c r="E19" s="5">
        <v>22.37</v>
      </c>
      <c r="F19" s="5">
        <f t="shared" si="0"/>
        <v>8.5006000000000004</v>
      </c>
    </row>
    <row r="20" spans="1:6" x14ac:dyDescent="0.25">
      <c r="A20" s="544" t="s">
        <v>36</v>
      </c>
      <c r="B20" s="545"/>
      <c r="C20" s="545"/>
      <c r="D20" s="545"/>
      <c r="E20" s="546"/>
      <c r="F20" s="290">
        <f>SUM(F12:F19)</f>
        <v>76.315238000000008</v>
      </c>
    </row>
    <row r="21" spans="1:6" x14ac:dyDescent="0.25">
      <c r="A21" s="547"/>
      <c r="B21" s="548"/>
      <c r="C21" s="548"/>
      <c r="D21" s="548"/>
      <c r="E21" s="548"/>
      <c r="F21" s="549"/>
    </row>
    <row r="22" spans="1:6" x14ac:dyDescent="0.25">
      <c r="A22" s="550" t="s">
        <v>86</v>
      </c>
      <c r="B22" s="551"/>
      <c r="C22" s="551"/>
      <c r="D22" s="551"/>
      <c r="E22" s="551"/>
      <c r="F22" s="552"/>
    </row>
    <row r="23" spans="1:6" x14ac:dyDescent="0.25">
      <c r="A23" s="553"/>
      <c r="B23" s="554"/>
      <c r="C23" s="554"/>
      <c r="D23" s="554"/>
      <c r="E23" s="554"/>
      <c r="F23" s="555"/>
    </row>
    <row r="24" spans="1:6" x14ac:dyDescent="0.25">
      <c r="A24" s="556" t="s">
        <v>775</v>
      </c>
      <c r="B24" s="557"/>
      <c r="C24" s="557"/>
      <c r="D24" s="557"/>
      <c r="E24" s="557"/>
      <c r="F24" s="558"/>
    </row>
    <row r="25" spans="1:6" x14ac:dyDescent="0.25">
      <c r="A25" s="311" t="s">
        <v>294</v>
      </c>
      <c r="B25" s="310" t="s">
        <v>110</v>
      </c>
      <c r="C25" s="6" t="s">
        <v>31</v>
      </c>
      <c r="D25" s="7" t="s">
        <v>32</v>
      </c>
      <c r="E25" s="8" t="s">
        <v>33</v>
      </c>
      <c r="F25" s="8" t="s">
        <v>34</v>
      </c>
    </row>
    <row r="26" spans="1:6" ht="15" customHeight="1" x14ac:dyDescent="0.25">
      <c r="A26" s="313">
        <v>301</v>
      </c>
      <c r="B26" s="20" t="s">
        <v>776</v>
      </c>
      <c r="C26" s="309" t="s">
        <v>5</v>
      </c>
      <c r="D26" s="21">
        <v>1</v>
      </c>
      <c r="E26" s="5">
        <v>3.5</v>
      </c>
      <c r="F26" s="5">
        <f t="shared" ref="F26:F31" si="1">E26*D26</f>
        <v>3.5</v>
      </c>
    </row>
    <row r="27" spans="1:6" ht="15" customHeight="1" x14ac:dyDescent="0.25">
      <c r="A27" s="313">
        <v>296</v>
      </c>
      <c r="B27" s="20" t="s">
        <v>777</v>
      </c>
      <c r="C27" s="309" t="s">
        <v>31</v>
      </c>
      <c r="D27" s="21">
        <v>1</v>
      </c>
      <c r="E27" s="5">
        <v>1.98</v>
      </c>
      <c r="F27" s="5">
        <f t="shared" si="1"/>
        <v>1.98</v>
      </c>
    </row>
    <row r="28" spans="1:6" ht="26.25" x14ac:dyDescent="0.25">
      <c r="A28" s="313">
        <v>3659</v>
      </c>
      <c r="B28" s="20" t="s">
        <v>778</v>
      </c>
      <c r="C28" s="309" t="s">
        <v>31</v>
      </c>
      <c r="D28" s="21">
        <v>1</v>
      </c>
      <c r="E28" s="5">
        <v>23.15</v>
      </c>
      <c r="F28" s="5">
        <f t="shared" si="1"/>
        <v>23.15</v>
      </c>
    </row>
    <row r="29" spans="1:6" ht="39" x14ac:dyDescent="0.25">
      <c r="A29" s="313">
        <v>20078</v>
      </c>
      <c r="B29" s="20" t="s">
        <v>760</v>
      </c>
      <c r="C29" s="309" t="s">
        <v>31</v>
      </c>
      <c r="D29" s="21">
        <v>9.1999999999999998E-2</v>
      </c>
      <c r="E29" s="5">
        <v>31.72</v>
      </c>
      <c r="F29" s="5">
        <f t="shared" si="1"/>
        <v>2.9182399999999999</v>
      </c>
    </row>
    <row r="30" spans="1:6" ht="26.25" x14ac:dyDescent="0.25">
      <c r="A30" s="313">
        <v>88248</v>
      </c>
      <c r="B30" s="20" t="s">
        <v>763</v>
      </c>
      <c r="C30" s="309" t="s">
        <v>35</v>
      </c>
      <c r="D30" s="21">
        <v>0.33</v>
      </c>
      <c r="E30" s="5">
        <v>18.399999999999999</v>
      </c>
      <c r="F30" s="5">
        <f t="shared" si="1"/>
        <v>6.0720000000000001</v>
      </c>
    </row>
    <row r="31" spans="1:6" ht="26.25" x14ac:dyDescent="0.25">
      <c r="A31" s="313">
        <v>88267</v>
      </c>
      <c r="B31" s="20" t="s">
        <v>764</v>
      </c>
      <c r="C31" s="309" t="s">
        <v>35</v>
      </c>
      <c r="D31" s="21">
        <v>0.33</v>
      </c>
      <c r="E31" s="5">
        <v>22.37</v>
      </c>
      <c r="F31" s="5">
        <f t="shared" si="1"/>
        <v>7.3821000000000003</v>
      </c>
    </row>
    <row r="32" spans="1:6" x14ac:dyDescent="0.25">
      <c r="A32" s="544" t="s">
        <v>36</v>
      </c>
      <c r="B32" s="545"/>
      <c r="C32" s="545"/>
      <c r="D32" s="545"/>
      <c r="E32" s="546"/>
      <c r="F32" s="290">
        <f>SUM(F26:F31)</f>
        <v>45.002340000000004</v>
      </c>
    </row>
    <row r="33" spans="1:6" x14ac:dyDescent="0.25">
      <c r="A33" s="547"/>
      <c r="B33" s="548"/>
      <c r="C33" s="548"/>
      <c r="D33" s="548"/>
      <c r="E33" s="548"/>
      <c r="F33" s="549"/>
    </row>
    <row r="35" spans="1:6" x14ac:dyDescent="0.25">
      <c r="A35" s="550" t="s">
        <v>812</v>
      </c>
      <c r="B35" s="551"/>
      <c r="C35" s="551"/>
      <c r="D35" s="551"/>
      <c r="E35" s="551"/>
      <c r="F35" s="552"/>
    </row>
    <row r="36" spans="1:6" x14ac:dyDescent="0.25">
      <c r="A36" s="553"/>
      <c r="B36" s="554"/>
      <c r="C36" s="554"/>
      <c r="D36" s="554"/>
      <c r="E36" s="554"/>
      <c r="F36" s="555"/>
    </row>
    <row r="37" spans="1:6" x14ac:dyDescent="0.25">
      <c r="A37" s="556" t="s">
        <v>811</v>
      </c>
      <c r="B37" s="557"/>
      <c r="C37" s="557"/>
      <c r="D37" s="557"/>
      <c r="E37" s="557"/>
      <c r="F37" s="558"/>
    </row>
    <row r="38" spans="1:6" x14ac:dyDescent="0.25">
      <c r="A38" s="316" t="s">
        <v>294</v>
      </c>
      <c r="B38" s="314" t="s">
        <v>110</v>
      </c>
      <c r="C38" s="6" t="s">
        <v>31</v>
      </c>
      <c r="D38" s="7" t="s">
        <v>32</v>
      </c>
      <c r="E38" s="8" t="s">
        <v>33</v>
      </c>
      <c r="F38" s="8" t="s">
        <v>34</v>
      </c>
    </row>
    <row r="39" spans="1:6" ht="26.25" x14ac:dyDescent="0.25">
      <c r="A39" s="317">
        <v>42692</v>
      </c>
      <c r="B39" s="20" t="s">
        <v>809</v>
      </c>
      <c r="C39" s="315" t="s">
        <v>5</v>
      </c>
      <c r="D39" s="21">
        <v>1</v>
      </c>
      <c r="E39" s="5">
        <v>545.85</v>
      </c>
      <c r="F39" s="5">
        <f t="shared" ref="F39:F43" si="2">E39*D39</f>
        <v>545.85</v>
      </c>
    </row>
    <row r="40" spans="1:6" ht="26.25" x14ac:dyDescent="0.25">
      <c r="A40" s="317">
        <v>306</v>
      </c>
      <c r="B40" s="20" t="s">
        <v>810</v>
      </c>
      <c r="C40" s="315" t="s">
        <v>31</v>
      </c>
      <c r="D40" s="21">
        <v>1</v>
      </c>
      <c r="E40" s="5">
        <v>18.5</v>
      </c>
      <c r="F40" s="5">
        <f t="shared" si="2"/>
        <v>18.5</v>
      </c>
    </row>
    <row r="41" spans="1:6" ht="39" x14ac:dyDescent="0.25">
      <c r="A41" s="317">
        <v>20078</v>
      </c>
      <c r="B41" s="20" t="s">
        <v>760</v>
      </c>
      <c r="C41" s="315" t="s">
        <v>31</v>
      </c>
      <c r="D41" s="21">
        <v>0.23</v>
      </c>
      <c r="E41" s="5">
        <v>31.72</v>
      </c>
      <c r="F41" s="5">
        <f t="shared" si="2"/>
        <v>7.2956000000000003</v>
      </c>
    </row>
    <row r="42" spans="1:6" ht="26.25" x14ac:dyDescent="0.25">
      <c r="A42" s="317">
        <v>88248</v>
      </c>
      <c r="B42" s="20" t="s">
        <v>763</v>
      </c>
      <c r="C42" s="315" t="s">
        <v>35</v>
      </c>
      <c r="D42" s="21">
        <v>0.45</v>
      </c>
      <c r="E42" s="5">
        <v>18.399999999999999</v>
      </c>
      <c r="F42" s="5">
        <f t="shared" si="2"/>
        <v>8.2799999999999994</v>
      </c>
    </row>
    <row r="43" spans="1:6" ht="26.25" x14ac:dyDescent="0.25">
      <c r="A43" s="317">
        <v>88267</v>
      </c>
      <c r="B43" s="20" t="s">
        <v>764</v>
      </c>
      <c r="C43" s="315" t="s">
        <v>35</v>
      </c>
      <c r="D43" s="21">
        <v>0.45</v>
      </c>
      <c r="E43" s="5">
        <v>22.37</v>
      </c>
      <c r="F43" s="5">
        <f t="shared" si="2"/>
        <v>10.066500000000001</v>
      </c>
    </row>
    <row r="44" spans="1:6" x14ac:dyDescent="0.25">
      <c r="A44" s="544" t="s">
        <v>36</v>
      </c>
      <c r="B44" s="545"/>
      <c r="C44" s="545"/>
      <c r="D44" s="545"/>
      <c r="E44" s="546"/>
      <c r="F44" s="290">
        <f>SUM(F39:F43)</f>
        <v>589.99210000000005</v>
      </c>
    </row>
    <row r="45" spans="1:6" x14ac:dyDescent="0.25">
      <c r="A45" s="547"/>
      <c r="B45" s="548"/>
      <c r="C45" s="548"/>
      <c r="D45" s="548"/>
      <c r="E45" s="548"/>
      <c r="F45" s="549"/>
    </row>
  </sheetData>
  <mergeCells count="18">
    <mergeCell ref="A6:F7"/>
    <mergeCell ref="A35:F36"/>
    <mergeCell ref="A37:F37"/>
    <mergeCell ref="A44:E44"/>
    <mergeCell ref="A45:F45"/>
    <mergeCell ref="A22:F23"/>
    <mergeCell ref="A24:F24"/>
    <mergeCell ref="A32:E32"/>
    <mergeCell ref="A33:F33"/>
    <mergeCell ref="A8:F9"/>
    <mergeCell ref="A10:F10"/>
    <mergeCell ref="A20:E20"/>
    <mergeCell ref="A21:F21"/>
    <mergeCell ref="A1:F1"/>
    <mergeCell ref="B2:F2"/>
    <mergeCell ref="B3:F3"/>
    <mergeCell ref="B4:F4"/>
    <mergeCell ref="B5:F5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27</vt:i4>
      </vt:variant>
    </vt:vector>
  </HeadingPairs>
  <TitlesOfParts>
    <vt:vector size="45" baseType="lpstr">
      <vt:lpstr>CAPA</vt:lpstr>
      <vt:lpstr>BDI</vt:lpstr>
      <vt:lpstr>RESUMO</vt:lpstr>
      <vt:lpstr>PLANILHA ORÇAMENTARIA</vt:lpstr>
      <vt:lpstr>CRONOGRAMA FÍSICO</vt:lpstr>
      <vt:lpstr>COMPADM</vt:lpstr>
      <vt:lpstr>COMPCOB</vt:lpstr>
      <vt:lpstr>COMPELE</vt:lpstr>
      <vt:lpstr>COMPHID</vt:lpstr>
      <vt:lpstr>COMP-PLAYGROUND</vt:lpstr>
      <vt:lpstr>MEMCALFUND</vt:lpstr>
      <vt:lpstr>MEMCALPINT</vt:lpstr>
      <vt:lpstr>MEMCALALV</vt:lpstr>
      <vt:lpstr>MEMCALCOBERT</vt:lpstr>
      <vt:lpstr>MEMCALESQ</vt:lpstr>
      <vt:lpstr>MEMCALPIS</vt:lpstr>
      <vt:lpstr>QUADRO DE QUANTIDADES</vt:lpstr>
      <vt:lpstr>COTAÇÕES</vt:lpstr>
      <vt:lpstr>BDI!Area_de_impressao</vt:lpstr>
      <vt:lpstr>CAPA!Area_de_impressao</vt:lpstr>
      <vt:lpstr>COMPADM!Area_de_impressao</vt:lpstr>
      <vt:lpstr>COMPCOB!Area_de_impressao</vt:lpstr>
      <vt:lpstr>COMPELE!Area_de_impressao</vt:lpstr>
      <vt:lpstr>COMPHID!Area_de_impressao</vt:lpstr>
      <vt:lpstr>'COMP-PLAYGROUND'!Area_de_impressao</vt:lpstr>
      <vt:lpstr>'CRONOGRAMA FÍSICO'!Area_de_impressao</vt:lpstr>
      <vt:lpstr>MEMCALALV!Area_de_impressao</vt:lpstr>
      <vt:lpstr>MEMCALCOBERT!Area_de_impressao</vt:lpstr>
      <vt:lpstr>MEMCALESQ!Area_de_impressao</vt:lpstr>
      <vt:lpstr>MEMCALFUND!Area_de_impressao</vt:lpstr>
      <vt:lpstr>MEMCALPINT!Area_de_impressao</vt:lpstr>
      <vt:lpstr>MEMCALPIS!Area_de_impressao</vt:lpstr>
      <vt:lpstr>'PLANILHA ORÇAMENTARIA'!Area_de_impressao</vt:lpstr>
      <vt:lpstr>'QUADRO DE QUANTIDADES'!Area_de_impressao</vt:lpstr>
      <vt:lpstr>RESUMO!Area_de_impressao</vt:lpstr>
      <vt:lpstr>COMPCOB!Titulos_de_impressao</vt:lpstr>
      <vt:lpstr>COMPELE!Titulos_de_impressao</vt:lpstr>
      <vt:lpstr>COMPHID!Titulos_de_impressao</vt:lpstr>
      <vt:lpstr>'COMP-PLAYGROUND'!Titulos_de_impressao</vt:lpstr>
      <vt:lpstr>MEMCALCOBERT!Titulos_de_impressao</vt:lpstr>
      <vt:lpstr>MEMCALFUND!Titulos_de_impressao</vt:lpstr>
      <vt:lpstr>MEMCALPINT!Titulos_de_impressao</vt:lpstr>
      <vt:lpstr>MEMCALPIS!Titulos_de_impressao</vt:lpstr>
      <vt:lpstr>'PLANILHA ORÇAMENTARIA'!Titulos_de_impressao</vt:lpstr>
      <vt:lpstr>'QUADRO DE QUANTIDADES'!Titulos_de_impressao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Henrique</dc:creator>
  <cp:lastModifiedBy>Meta Projetos</cp:lastModifiedBy>
  <cp:lastPrinted>2022-11-10T15:30:40Z</cp:lastPrinted>
  <dcterms:created xsi:type="dcterms:W3CDTF">2022-03-14T00:00:56Z</dcterms:created>
  <dcterms:modified xsi:type="dcterms:W3CDTF">2022-11-10T15:30:44Z</dcterms:modified>
</cp:coreProperties>
</file>